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bstarks\Downloads\"/>
    </mc:Choice>
  </mc:AlternateContent>
  <xr:revisionPtr revIDLastSave="0" documentId="13_ncr:1_{3A2B4DD2-537F-489C-96EF-234C36C40D46}" xr6:coauthVersionLast="47" xr6:coauthVersionMax="47" xr10:uidLastSave="{00000000-0000-0000-0000-000000000000}"/>
  <bookViews>
    <workbookView xWindow="3855" yWindow="3855" windowWidth="21600" windowHeight="11295" tabRatio="663" activeTab="2" xr2:uid="{502C6C34-EAFD-4630-A0CC-04E7A20A0796}"/>
  </bookViews>
  <sheets>
    <sheet name="Levy Rate" sheetId="11" r:id="rId1"/>
    <sheet name="Amount" sheetId="12" r:id="rId2"/>
    <sheet name="Market Values" sheetId="13" r:id="rId3"/>
  </sheets>
  <externalReferences>
    <externalReference r:id="rId4"/>
  </externalReferences>
  <definedNames>
    <definedName name="_xlnm.Print_Titles" localSheetId="1">Amount!$A:$C,Amount!$2:$2</definedName>
    <definedName name="_xlnm.Print_Titles" localSheetId="0">'Levy Rate'!$2:$2</definedName>
    <definedName name="_xlnm.Print_Titles" localSheetId="2">'Market Values'!$1:$2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7" i="12" l="1"/>
  <c r="R167" i="12"/>
  <c r="P3" i="12"/>
  <c r="P167" i="12"/>
  <c r="D48" i="11"/>
  <c r="C152" i="12"/>
  <c r="F152" i="12"/>
  <c r="D5" i="11"/>
  <c r="D4" i="11"/>
  <c r="D104" i="11"/>
  <c r="D102" i="11"/>
  <c r="D102" i="12"/>
  <c r="L39" i="11"/>
  <c r="D39" i="11"/>
  <c r="D36" i="11"/>
  <c r="D34" i="11"/>
  <c r="D34" i="12" s="1"/>
  <c r="D27" i="11"/>
  <c r="D27" i="12" s="1"/>
  <c r="D25" i="11"/>
  <c r="D25" i="12"/>
  <c r="F25" i="12"/>
  <c r="D21" i="11"/>
  <c r="D21" i="12" s="1"/>
  <c r="I21" i="12" s="1"/>
  <c r="D162" i="11"/>
  <c r="D162" i="12"/>
  <c r="F162" i="12" s="1"/>
  <c r="D154" i="11"/>
  <c r="D154" i="12" s="1"/>
  <c r="D153" i="11"/>
  <c r="D153" i="12"/>
  <c r="G153" i="12" s="1"/>
  <c r="D151" i="11"/>
  <c r="D151" i="12"/>
  <c r="L151" i="12" s="1"/>
  <c r="D150" i="11"/>
  <c r="D150" i="12" s="1"/>
  <c r="D148" i="11"/>
  <c r="D147" i="11"/>
  <c r="D139" i="11"/>
  <c r="D135" i="11"/>
  <c r="D126" i="11"/>
  <c r="D126" i="12" s="1"/>
  <c r="D124" i="11"/>
  <c r="D124" i="12"/>
  <c r="I124" i="12"/>
  <c r="D122" i="11"/>
  <c r="D122" i="12"/>
  <c r="F122" i="12" s="1"/>
  <c r="L122" i="12"/>
  <c r="L119" i="11"/>
  <c r="D120" i="11"/>
  <c r="D119" i="11"/>
  <c r="D10" i="11"/>
  <c r="D10" i="12"/>
  <c r="F10" i="12" s="1"/>
  <c r="K9" i="12" s="1"/>
  <c r="N9" i="12" s="1"/>
  <c r="D100" i="11"/>
  <c r="D100" i="12"/>
  <c r="D97" i="11"/>
  <c r="D97" i="12" s="1"/>
  <c r="D95" i="11"/>
  <c r="D95" i="12"/>
  <c r="I95" i="12"/>
  <c r="L91" i="11"/>
  <c r="D92" i="11"/>
  <c r="D92" i="12" s="1"/>
  <c r="L92" i="12" s="1"/>
  <c r="D91" i="11"/>
  <c r="D91" i="12" s="1"/>
  <c r="L87" i="11"/>
  <c r="D87" i="11"/>
  <c r="D15" i="11"/>
  <c r="D84" i="11"/>
  <c r="D76" i="11"/>
  <c r="D75" i="11"/>
  <c r="D7" i="11"/>
  <c r="D71" i="11"/>
  <c r="D71" i="12"/>
  <c r="E71" i="12" s="1"/>
  <c r="D63" i="11"/>
  <c r="D63" i="12"/>
  <c r="C61" i="12"/>
  <c r="G61" i="12" s="1"/>
  <c r="D58" i="11"/>
  <c r="D58" i="12" s="1"/>
  <c r="L58" i="12" s="1"/>
  <c r="D57" i="11"/>
  <c r="D57" i="12" s="1"/>
  <c r="C55" i="12"/>
  <c r="M55" i="12" s="1"/>
  <c r="K55" i="11"/>
  <c r="N55" i="11"/>
  <c r="I53" i="11"/>
  <c r="K52" i="11"/>
  <c r="N52" i="11" s="1"/>
  <c r="D53" i="11"/>
  <c r="D53" i="12" s="1"/>
  <c r="D51" i="11"/>
  <c r="D51" i="12" s="1"/>
  <c r="C50" i="12"/>
  <c r="E50" i="12"/>
  <c r="D45" i="11"/>
  <c r="D45" i="12"/>
  <c r="I45" i="12" s="1"/>
  <c r="E45" i="12"/>
  <c r="D46" i="11"/>
  <c r="D46" i="12" s="1"/>
  <c r="F43" i="11"/>
  <c r="K43" i="11"/>
  <c r="N43" i="11"/>
  <c r="D41" i="11"/>
  <c r="D41" i="12" s="1"/>
  <c r="C6" i="12"/>
  <c r="C9" i="12"/>
  <c r="I9" i="12"/>
  <c r="C12" i="12"/>
  <c r="H12" i="12" s="1"/>
  <c r="C13" i="12"/>
  <c r="E13" i="12"/>
  <c r="F13" i="12"/>
  <c r="C14" i="12"/>
  <c r="G14" i="12"/>
  <c r="D5" i="12"/>
  <c r="D4" i="12"/>
  <c r="H4" i="12" s="1"/>
  <c r="C167" i="11"/>
  <c r="C167" i="12" s="1"/>
  <c r="K56" i="11"/>
  <c r="N56" i="11"/>
  <c r="D36" i="12"/>
  <c r="F36" i="12"/>
  <c r="D39" i="12"/>
  <c r="F39" i="12"/>
  <c r="D148" i="12"/>
  <c r="L148" i="12" s="1"/>
  <c r="D147" i="12"/>
  <c r="M147" i="12" s="1"/>
  <c r="D139" i="12"/>
  <c r="M139" i="12" s="1"/>
  <c r="D135" i="12"/>
  <c r="G135" i="12"/>
  <c r="D120" i="12"/>
  <c r="L120" i="12"/>
  <c r="D119" i="12"/>
  <c r="D104" i="12"/>
  <c r="I104" i="12" s="1"/>
  <c r="D98" i="12"/>
  <c r="L98" i="12" s="1"/>
  <c r="D87" i="12"/>
  <c r="L87" i="12"/>
  <c r="D15" i="12"/>
  <c r="M15" i="12"/>
  <c r="D84" i="12"/>
  <c r="D76" i="12"/>
  <c r="M76" i="12" s="1"/>
  <c r="D75" i="12"/>
  <c r="D48" i="12"/>
  <c r="M48" i="12"/>
  <c r="C26" i="12"/>
  <c r="F26" i="12" s="1"/>
  <c r="C24" i="12"/>
  <c r="M24" i="12"/>
  <c r="C23" i="12"/>
  <c r="M23" i="12"/>
  <c r="C22" i="12"/>
  <c r="I22" i="12"/>
  <c r="C20" i="12"/>
  <c r="F20" i="12" s="1"/>
  <c r="C19" i="12"/>
  <c r="L19" i="12"/>
  <c r="C18" i="12"/>
  <c r="M18" i="12" s="1"/>
  <c r="C17" i="12"/>
  <c r="C16" i="12"/>
  <c r="G16" i="12" s="1"/>
  <c r="C11" i="12"/>
  <c r="F11" i="12" s="1"/>
  <c r="C10" i="12"/>
  <c r="C3" i="12"/>
  <c r="L3" i="12"/>
  <c r="C21" i="12"/>
  <c r="C15" i="12"/>
  <c r="C7" i="12"/>
  <c r="C4" i="12"/>
  <c r="C28" i="12"/>
  <c r="L28" i="12" s="1"/>
  <c r="C29" i="12"/>
  <c r="I29" i="12" s="1"/>
  <c r="C30" i="12"/>
  <c r="G30" i="12"/>
  <c r="F30" i="12"/>
  <c r="C31" i="12"/>
  <c r="G31" i="12" s="1"/>
  <c r="C33" i="12"/>
  <c r="C35" i="12"/>
  <c r="F35" i="12" s="1"/>
  <c r="L35" i="12"/>
  <c r="C37" i="12"/>
  <c r="C38" i="12"/>
  <c r="I38" i="12"/>
  <c r="C40" i="12"/>
  <c r="M40" i="12"/>
  <c r="C42" i="12"/>
  <c r="L42" i="12"/>
  <c r="E42" i="12"/>
  <c r="C43" i="12"/>
  <c r="H43" i="12"/>
  <c r="C44" i="12"/>
  <c r="H44" i="12"/>
  <c r="C47" i="12"/>
  <c r="M47" i="12" s="1"/>
  <c r="C49" i="12"/>
  <c r="L49" i="12"/>
  <c r="C52" i="12"/>
  <c r="H52" i="12" s="1"/>
  <c r="C54" i="12"/>
  <c r="E54" i="12"/>
  <c r="C56" i="12"/>
  <c r="I56" i="12"/>
  <c r="C59" i="12"/>
  <c r="H59" i="12"/>
  <c r="C60" i="12"/>
  <c r="I60" i="12" s="1"/>
  <c r="C62" i="12"/>
  <c r="L62" i="12"/>
  <c r="C64" i="12"/>
  <c r="F64" i="12" s="1"/>
  <c r="C65" i="12"/>
  <c r="L65" i="12"/>
  <c r="C66" i="12"/>
  <c r="L66" i="12"/>
  <c r="C67" i="12"/>
  <c r="L67" i="12"/>
  <c r="C68" i="12"/>
  <c r="H68" i="12" s="1"/>
  <c r="C69" i="12"/>
  <c r="L69" i="12"/>
  <c r="C70" i="12"/>
  <c r="H70" i="12" s="1"/>
  <c r="C72" i="12"/>
  <c r="H72" i="12"/>
  <c r="C73" i="12"/>
  <c r="G73" i="12"/>
  <c r="C74" i="12"/>
  <c r="L74" i="12"/>
  <c r="C77" i="12"/>
  <c r="I77" i="12" s="1"/>
  <c r="C78" i="12"/>
  <c r="I78" i="12"/>
  <c r="H78" i="12"/>
  <c r="C79" i="12"/>
  <c r="I79" i="12"/>
  <c r="C80" i="12"/>
  <c r="G80" i="12" s="1"/>
  <c r="C81" i="12"/>
  <c r="M81" i="12" s="1"/>
  <c r="C82" i="12"/>
  <c r="I82" i="12" s="1"/>
  <c r="C83" i="12"/>
  <c r="L83" i="12"/>
  <c r="C85" i="12"/>
  <c r="I85" i="12"/>
  <c r="C86" i="12"/>
  <c r="L86" i="12"/>
  <c r="C88" i="12"/>
  <c r="C89" i="12"/>
  <c r="M89" i="12" s="1"/>
  <c r="C90" i="12"/>
  <c r="F90" i="12" s="1"/>
  <c r="C93" i="12"/>
  <c r="L93" i="12"/>
  <c r="C94" i="12"/>
  <c r="F94" i="12"/>
  <c r="C96" i="12"/>
  <c r="H96" i="12"/>
  <c r="C99" i="12"/>
  <c r="L99" i="12" s="1"/>
  <c r="C101" i="12"/>
  <c r="F101" i="12" s="1"/>
  <c r="C103" i="12"/>
  <c r="E103" i="12" s="1"/>
  <c r="C105" i="12"/>
  <c r="I105" i="12"/>
  <c r="C106" i="12"/>
  <c r="H106" i="12" s="1"/>
  <c r="C107" i="12"/>
  <c r="E107" i="12"/>
  <c r="C108" i="12"/>
  <c r="G108" i="12"/>
  <c r="C109" i="12"/>
  <c r="H109" i="12" s="1"/>
  <c r="I109" i="12"/>
  <c r="C110" i="12"/>
  <c r="H110" i="12"/>
  <c r="C111" i="12"/>
  <c r="F111" i="12"/>
  <c r="C112" i="12"/>
  <c r="H112" i="12"/>
  <c r="C113" i="12"/>
  <c r="L113" i="12" s="1"/>
  <c r="C114" i="12"/>
  <c r="I114" i="12" s="1"/>
  <c r="C115" i="12"/>
  <c r="H115" i="12" s="1"/>
  <c r="C116" i="12"/>
  <c r="F116" i="12"/>
  <c r="C117" i="12"/>
  <c r="M117" i="12"/>
  <c r="C118" i="12"/>
  <c r="C121" i="12"/>
  <c r="L121" i="12" s="1"/>
  <c r="C123" i="12"/>
  <c r="I123" i="12" s="1"/>
  <c r="C125" i="12"/>
  <c r="F125" i="12"/>
  <c r="C127" i="12"/>
  <c r="L127" i="12"/>
  <c r="C128" i="12"/>
  <c r="G128" i="12"/>
  <c r="L128" i="12"/>
  <c r="C129" i="12"/>
  <c r="M129" i="12"/>
  <c r="C130" i="12"/>
  <c r="I130" i="12"/>
  <c r="C131" i="12"/>
  <c r="H131" i="12" s="1"/>
  <c r="C132" i="12"/>
  <c r="I132" i="12"/>
  <c r="C133" i="12"/>
  <c r="M133" i="12" s="1"/>
  <c r="C134" i="12"/>
  <c r="L134" i="12"/>
  <c r="C136" i="12"/>
  <c r="E136" i="12"/>
  <c r="C137" i="12"/>
  <c r="F137" i="12"/>
  <c r="C138" i="12"/>
  <c r="I138" i="12" s="1"/>
  <c r="C140" i="12"/>
  <c r="M140" i="12"/>
  <c r="H140" i="12"/>
  <c r="C141" i="12"/>
  <c r="M141" i="12"/>
  <c r="C142" i="12"/>
  <c r="C143" i="12"/>
  <c r="M143" i="12" s="1"/>
  <c r="C144" i="12"/>
  <c r="F144" i="12" s="1"/>
  <c r="C145" i="12"/>
  <c r="F145" i="12"/>
  <c r="C146" i="12"/>
  <c r="G146" i="12" s="1"/>
  <c r="C149" i="12"/>
  <c r="I149" i="12"/>
  <c r="C155" i="12"/>
  <c r="M155" i="12"/>
  <c r="C156" i="12"/>
  <c r="F156" i="12"/>
  <c r="C157" i="12"/>
  <c r="H157" i="12" s="1"/>
  <c r="C158" i="12"/>
  <c r="E158" i="12"/>
  <c r="H158" i="12"/>
  <c r="C159" i="12"/>
  <c r="M159" i="12"/>
  <c r="C160" i="12"/>
  <c r="C161" i="12"/>
  <c r="C163" i="12"/>
  <c r="L163" i="12" s="1"/>
  <c r="C164" i="12"/>
  <c r="F164" i="12"/>
  <c r="C165" i="12"/>
  <c r="L165" i="12" s="1"/>
  <c r="E165" i="12"/>
  <c r="C166" i="12"/>
  <c r="G166" i="12"/>
  <c r="C48" i="12"/>
  <c r="J119" i="12"/>
  <c r="C119" i="12"/>
  <c r="J118" i="12"/>
  <c r="D118" i="12"/>
  <c r="D227" i="13"/>
  <c r="A3" i="12"/>
  <c r="B3" i="12"/>
  <c r="D3" i="12"/>
  <c r="J3" i="12"/>
  <c r="A6" i="12"/>
  <c r="B6" i="12"/>
  <c r="D6" i="12"/>
  <c r="L6" i="12"/>
  <c r="J6" i="12"/>
  <c r="B7" i="12"/>
  <c r="J7" i="12"/>
  <c r="A9" i="12"/>
  <c r="B9" i="12"/>
  <c r="D9" i="12"/>
  <c r="J9" i="12"/>
  <c r="A11" i="12"/>
  <c r="B11" i="12"/>
  <c r="D11" i="12"/>
  <c r="J11" i="12"/>
  <c r="A12" i="12"/>
  <c r="B12" i="12"/>
  <c r="D12" i="12"/>
  <c r="J12" i="12"/>
  <c r="A13" i="12"/>
  <c r="B13" i="12"/>
  <c r="D13" i="12"/>
  <c r="J13" i="12"/>
  <c r="A14" i="12"/>
  <c r="B14" i="12"/>
  <c r="D14" i="12"/>
  <c r="J14" i="12"/>
  <c r="J15" i="12"/>
  <c r="A16" i="12"/>
  <c r="B16" i="12"/>
  <c r="D16" i="12"/>
  <c r="J16" i="12"/>
  <c r="A17" i="12"/>
  <c r="B17" i="12"/>
  <c r="D17" i="12"/>
  <c r="J17" i="12"/>
  <c r="A18" i="12"/>
  <c r="B18" i="12"/>
  <c r="D18" i="12"/>
  <c r="J18" i="12"/>
  <c r="A19" i="12"/>
  <c r="B19" i="12"/>
  <c r="D19" i="12"/>
  <c r="J19" i="12"/>
  <c r="A20" i="12"/>
  <c r="B20" i="12"/>
  <c r="D20" i="12"/>
  <c r="J20" i="12"/>
  <c r="J21" i="12"/>
  <c r="A22" i="12"/>
  <c r="B22" i="12"/>
  <c r="D22" i="12"/>
  <c r="J22" i="12"/>
  <c r="A23" i="12"/>
  <c r="B23" i="12"/>
  <c r="D23" i="12"/>
  <c r="J23" i="12"/>
  <c r="A24" i="12"/>
  <c r="B24" i="12"/>
  <c r="D24" i="12"/>
  <c r="J24" i="12"/>
  <c r="A26" i="12"/>
  <c r="B26" i="12"/>
  <c r="D26" i="12"/>
  <c r="J26" i="12"/>
  <c r="C27" i="12"/>
  <c r="A28" i="12"/>
  <c r="B28" i="12"/>
  <c r="D28" i="12"/>
  <c r="J28" i="12"/>
  <c r="A29" i="12"/>
  <c r="B29" i="12"/>
  <c r="D29" i="12"/>
  <c r="J29" i="12"/>
  <c r="A30" i="12"/>
  <c r="B30" i="12"/>
  <c r="D30" i="12"/>
  <c r="J30" i="12"/>
  <c r="A31" i="12"/>
  <c r="B31" i="12"/>
  <c r="D31" i="12"/>
  <c r="J31" i="12"/>
  <c r="C32" i="12"/>
  <c r="J32" i="12"/>
  <c r="A33" i="12"/>
  <c r="B33" i="12"/>
  <c r="D33" i="12"/>
  <c r="J33" i="12"/>
  <c r="C34" i="12"/>
  <c r="J34" i="12"/>
  <c r="A35" i="12"/>
  <c r="B35" i="12"/>
  <c r="D35" i="12"/>
  <c r="J35" i="12"/>
  <c r="C36" i="12"/>
  <c r="J36" i="12"/>
  <c r="A37" i="12"/>
  <c r="B37" i="12"/>
  <c r="D37" i="12"/>
  <c r="J37" i="12"/>
  <c r="A38" i="12"/>
  <c r="B38" i="12"/>
  <c r="D38" i="12"/>
  <c r="J38" i="12"/>
  <c r="C39" i="12"/>
  <c r="J39" i="12"/>
  <c r="A40" i="12"/>
  <c r="B40" i="12"/>
  <c r="D40" i="12"/>
  <c r="J40" i="12"/>
  <c r="H41" i="12"/>
  <c r="A42" i="12"/>
  <c r="B42" i="12"/>
  <c r="D42" i="12"/>
  <c r="J42" i="12"/>
  <c r="A43" i="12"/>
  <c r="B43" i="12"/>
  <c r="D43" i="12"/>
  <c r="J43" i="12"/>
  <c r="A44" i="12"/>
  <c r="B44" i="12"/>
  <c r="D44" i="12"/>
  <c r="J44" i="12"/>
  <c r="C45" i="12"/>
  <c r="J45" i="12"/>
  <c r="A47" i="12"/>
  <c r="B47" i="12"/>
  <c r="D47" i="12"/>
  <c r="J47" i="12"/>
  <c r="J48" i="12"/>
  <c r="A49" i="12"/>
  <c r="B49" i="12"/>
  <c r="D49" i="12"/>
  <c r="J49" i="12"/>
  <c r="A50" i="12"/>
  <c r="B50" i="12"/>
  <c r="D50" i="12"/>
  <c r="J50" i="12"/>
  <c r="C51" i="12"/>
  <c r="A52" i="12"/>
  <c r="B52" i="12"/>
  <c r="D52" i="12"/>
  <c r="J52" i="12"/>
  <c r="A54" i="12"/>
  <c r="B54" i="12"/>
  <c r="D54" i="12"/>
  <c r="J54" i="12"/>
  <c r="A55" i="12"/>
  <c r="B55" i="12"/>
  <c r="D55" i="12"/>
  <c r="J55" i="12"/>
  <c r="A56" i="12"/>
  <c r="B56" i="12"/>
  <c r="D56" i="12"/>
  <c r="J56" i="12"/>
  <c r="C57" i="12"/>
  <c r="J57" i="12"/>
  <c r="A59" i="12"/>
  <c r="B59" i="12"/>
  <c r="D59" i="12"/>
  <c r="J59" i="12"/>
  <c r="A60" i="12"/>
  <c r="B60" i="12"/>
  <c r="D60" i="12"/>
  <c r="J60" i="12"/>
  <c r="A61" i="12"/>
  <c r="B61" i="12"/>
  <c r="D61" i="12"/>
  <c r="J61" i="12"/>
  <c r="A62" i="12"/>
  <c r="B62" i="12"/>
  <c r="D62" i="12"/>
  <c r="J62" i="12"/>
  <c r="C63" i="12"/>
  <c r="J63" i="12"/>
  <c r="A64" i="12"/>
  <c r="B64" i="12"/>
  <c r="D64" i="12"/>
  <c r="J64" i="12"/>
  <c r="A65" i="12"/>
  <c r="B65" i="12"/>
  <c r="D65" i="12"/>
  <c r="J65" i="12"/>
  <c r="A66" i="12"/>
  <c r="B66" i="12"/>
  <c r="D66" i="12"/>
  <c r="J66" i="12"/>
  <c r="A67" i="12"/>
  <c r="B67" i="12"/>
  <c r="D67" i="12"/>
  <c r="J67" i="12"/>
  <c r="A68" i="12"/>
  <c r="B68" i="12"/>
  <c r="D68" i="12"/>
  <c r="J68" i="12"/>
  <c r="A69" i="12"/>
  <c r="B69" i="12"/>
  <c r="D69" i="12"/>
  <c r="J69" i="12"/>
  <c r="A70" i="12"/>
  <c r="B70" i="12"/>
  <c r="D70" i="12"/>
  <c r="J70" i="12"/>
  <c r="C71" i="12"/>
  <c r="A72" i="12"/>
  <c r="B72" i="12"/>
  <c r="D72" i="12"/>
  <c r="J72" i="12"/>
  <c r="A73" i="12"/>
  <c r="B73" i="12"/>
  <c r="D73" i="12"/>
  <c r="J73" i="12"/>
  <c r="A74" i="12"/>
  <c r="B74" i="12"/>
  <c r="D74" i="12"/>
  <c r="M74" i="12" s="1"/>
  <c r="J74" i="12"/>
  <c r="C75" i="12"/>
  <c r="H75" i="12" s="1"/>
  <c r="H76" i="12"/>
  <c r="A77" i="12"/>
  <c r="B77" i="12"/>
  <c r="D77" i="12"/>
  <c r="J77" i="12"/>
  <c r="A78" i="12"/>
  <c r="B78" i="12"/>
  <c r="D78" i="12"/>
  <c r="J78" i="12"/>
  <c r="A79" i="12"/>
  <c r="B79" i="12"/>
  <c r="D79" i="12"/>
  <c r="J79" i="12"/>
  <c r="A80" i="12"/>
  <c r="B80" i="12"/>
  <c r="D80" i="12"/>
  <c r="J80" i="12"/>
  <c r="A81" i="12"/>
  <c r="B81" i="12"/>
  <c r="D81" i="12"/>
  <c r="J81" i="12"/>
  <c r="A82" i="12"/>
  <c r="B82" i="12"/>
  <c r="D82" i="12"/>
  <c r="J82" i="12"/>
  <c r="A83" i="12"/>
  <c r="B83" i="12"/>
  <c r="D83" i="12"/>
  <c r="J83" i="12"/>
  <c r="C84" i="12"/>
  <c r="J84" i="12"/>
  <c r="A85" i="12"/>
  <c r="B85" i="12"/>
  <c r="D85" i="12"/>
  <c r="J85" i="12"/>
  <c r="A86" i="12"/>
  <c r="B86" i="12"/>
  <c r="D86" i="12"/>
  <c r="J86" i="12"/>
  <c r="C87" i="12"/>
  <c r="A88" i="12"/>
  <c r="B88" i="12"/>
  <c r="D88" i="12"/>
  <c r="J88" i="12"/>
  <c r="A89" i="12"/>
  <c r="B89" i="12"/>
  <c r="D89" i="12"/>
  <c r="J89" i="12"/>
  <c r="A90" i="12"/>
  <c r="B90" i="12"/>
  <c r="D90" i="12"/>
  <c r="J90" i="12"/>
  <c r="C91" i="12"/>
  <c r="A93" i="12"/>
  <c r="B93" i="12"/>
  <c r="D93" i="12"/>
  <c r="J93" i="12"/>
  <c r="A94" i="12"/>
  <c r="B94" i="12"/>
  <c r="D94" i="12"/>
  <c r="I94" i="12"/>
  <c r="J94" i="12"/>
  <c r="C95" i="12"/>
  <c r="J95" i="12"/>
  <c r="A96" i="12"/>
  <c r="B96" i="12"/>
  <c r="D96" i="12"/>
  <c r="I96" i="12"/>
  <c r="J96" i="12"/>
  <c r="C97" i="12"/>
  <c r="J97" i="12"/>
  <c r="A99" i="12"/>
  <c r="B99" i="12"/>
  <c r="D99" i="12"/>
  <c r="I99" i="12"/>
  <c r="J99" i="12"/>
  <c r="C100" i="12"/>
  <c r="J100" i="12"/>
  <c r="A101" i="12"/>
  <c r="B101" i="12"/>
  <c r="D101" i="12"/>
  <c r="I101" i="12"/>
  <c r="J101" i="12"/>
  <c r="A103" i="12"/>
  <c r="B103" i="12"/>
  <c r="D103" i="12"/>
  <c r="I103" i="12" s="1"/>
  <c r="L103" i="12"/>
  <c r="J103" i="12"/>
  <c r="A105" i="12"/>
  <c r="B105" i="12"/>
  <c r="D105" i="12"/>
  <c r="J105" i="12"/>
  <c r="A106" i="12"/>
  <c r="B106" i="12"/>
  <c r="D106" i="12"/>
  <c r="J106" i="12"/>
  <c r="A107" i="12"/>
  <c r="B107" i="12"/>
  <c r="D107" i="12"/>
  <c r="J107" i="12"/>
  <c r="A108" i="12"/>
  <c r="B108" i="12"/>
  <c r="D108" i="12"/>
  <c r="J108" i="12"/>
  <c r="A109" i="12"/>
  <c r="B109" i="12"/>
  <c r="D109" i="12"/>
  <c r="J109" i="12"/>
  <c r="A110" i="12"/>
  <c r="B110" i="12"/>
  <c r="D110" i="12"/>
  <c r="J110" i="12"/>
  <c r="A111" i="12"/>
  <c r="B111" i="12"/>
  <c r="D111" i="12"/>
  <c r="J111" i="12"/>
  <c r="B112" i="12"/>
  <c r="D112" i="12"/>
  <c r="J112" i="12"/>
  <c r="A113" i="12"/>
  <c r="B113" i="12"/>
  <c r="D113" i="12"/>
  <c r="J113" i="12"/>
  <c r="A114" i="12"/>
  <c r="B114" i="12"/>
  <c r="D114" i="12"/>
  <c r="J114" i="12"/>
  <c r="A115" i="12"/>
  <c r="B115" i="12"/>
  <c r="D115" i="12"/>
  <c r="J115" i="12"/>
  <c r="A116" i="12"/>
  <c r="B116" i="12"/>
  <c r="D116" i="12"/>
  <c r="J116" i="12"/>
  <c r="A117" i="12"/>
  <c r="B117" i="12"/>
  <c r="D117" i="12"/>
  <c r="J117" i="12"/>
  <c r="A118" i="12"/>
  <c r="B118" i="12"/>
  <c r="B121" i="12"/>
  <c r="D121" i="12"/>
  <c r="J121" i="12"/>
  <c r="H122" i="12"/>
  <c r="A123" i="12"/>
  <c r="B123" i="12"/>
  <c r="D123" i="12"/>
  <c r="J123" i="12"/>
  <c r="C124" i="12"/>
  <c r="J124" i="12"/>
  <c r="A125" i="12"/>
  <c r="B125" i="12"/>
  <c r="D125" i="12"/>
  <c r="J125" i="12"/>
  <c r="C126" i="12"/>
  <c r="J126" i="12"/>
  <c r="A127" i="12"/>
  <c r="B127" i="12"/>
  <c r="D127" i="12"/>
  <c r="J127" i="12"/>
  <c r="A128" i="12"/>
  <c r="B128" i="12"/>
  <c r="D128" i="12"/>
  <c r="J128" i="12"/>
  <c r="A129" i="12"/>
  <c r="B129" i="12"/>
  <c r="D129" i="12"/>
  <c r="J129" i="12"/>
  <c r="A130" i="12"/>
  <c r="B130" i="12"/>
  <c r="D130" i="12"/>
  <c r="J130" i="12"/>
  <c r="A131" i="12"/>
  <c r="B131" i="12"/>
  <c r="D131" i="12"/>
  <c r="J131" i="12"/>
  <c r="A132" i="12"/>
  <c r="B132" i="12"/>
  <c r="D132" i="12"/>
  <c r="J132" i="12"/>
  <c r="A133" i="12"/>
  <c r="B133" i="12"/>
  <c r="D133" i="12"/>
  <c r="J133" i="12"/>
  <c r="A134" i="12"/>
  <c r="B134" i="12"/>
  <c r="D134" i="12"/>
  <c r="J134" i="12"/>
  <c r="H135" i="12"/>
  <c r="K134" i="12" s="1"/>
  <c r="N134" i="12" s="1"/>
  <c r="L135" i="12"/>
  <c r="A136" i="12"/>
  <c r="B136" i="12"/>
  <c r="D136" i="12"/>
  <c r="J136" i="12"/>
  <c r="A137" i="12"/>
  <c r="B137" i="12"/>
  <c r="D137" i="12"/>
  <c r="J137" i="12"/>
  <c r="A138" i="12"/>
  <c r="B138" i="12"/>
  <c r="D138" i="12"/>
  <c r="J138" i="12"/>
  <c r="E139" i="12"/>
  <c r="H139" i="12"/>
  <c r="A140" i="12"/>
  <c r="B140" i="12"/>
  <c r="D140" i="12"/>
  <c r="A141" i="12"/>
  <c r="B141" i="12"/>
  <c r="D141" i="12"/>
  <c r="J141" i="12"/>
  <c r="B142" i="12"/>
  <c r="D142" i="12"/>
  <c r="J142" i="12"/>
  <c r="B143" i="12"/>
  <c r="D143" i="12"/>
  <c r="J143" i="12"/>
  <c r="A144" i="12"/>
  <c r="B144" i="12"/>
  <c r="D144" i="12"/>
  <c r="J144" i="12"/>
  <c r="A145" i="12"/>
  <c r="B145" i="12"/>
  <c r="D145" i="12"/>
  <c r="J145" i="12"/>
  <c r="A146" i="12"/>
  <c r="B146" i="12"/>
  <c r="D146" i="12"/>
  <c r="J146" i="12"/>
  <c r="C147" i="12"/>
  <c r="J147" i="12"/>
  <c r="M148" i="12"/>
  <c r="A149" i="12"/>
  <c r="B149" i="12"/>
  <c r="D149" i="12"/>
  <c r="J149" i="12"/>
  <c r="C150" i="12"/>
  <c r="J150" i="12"/>
  <c r="I151" i="12"/>
  <c r="A152" i="12"/>
  <c r="B152" i="12"/>
  <c r="D152" i="12"/>
  <c r="J152" i="12"/>
  <c r="L153" i="12"/>
  <c r="I154" i="12"/>
  <c r="A155" i="12"/>
  <c r="B155" i="12"/>
  <c r="D155" i="12"/>
  <c r="J155" i="12"/>
  <c r="A156" i="12"/>
  <c r="B156" i="12"/>
  <c r="D156" i="12"/>
  <c r="J156" i="12"/>
  <c r="A157" i="12"/>
  <c r="B157" i="12"/>
  <c r="D157" i="12"/>
  <c r="J157" i="12"/>
  <c r="A158" i="12"/>
  <c r="B158" i="12"/>
  <c r="D158" i="12"/>
  <c r="J158" i="12"/>
  <c r="A159" i="12"/>
  <c r="B159" i="12"/>
  <c r="D159" i="12"/>
  <c r="J159" i="12"/>
  <c r="A160" i="12"/>
  <c r="B160" i="12"/>
  <c r="D160" i="12"/>
  <c r="J160" i="12"/>
  <c r="A161" i="12"/>
  <c r="B161" i="12"/>
  <c r="D161" i="12"/>
  <c r="J161" i="12"/>
  <c r="A163" i="12"/>
  <c r="B163" i="12"/>
  <c r="D163" i="12"/>
  <c r="J163" i="12"/>
  <c r="A164" i="12"/>
  <c r="B164" i="12"/>
  <c r="D164" i="12"/>
  <c r="J164" i="12"/>
  <c r="A165" i="12"/>
  <c r="B165" i="12"/>
  <c r="D165" i="12"/>
  <c r="J165" i="12"/>
  <c r="A166" i="12"/>
  <c r="B166" i="12"/>
  <c r="D166" i="12"/>
  <c r="J166" i="12"/>
  <c r="K3" i="11"/>
  <c r="N3" i="11" s="1"/>
  <c r="K6" i="11"/>
  <c r="N6" i="11" s="1"/>
  <c r="D7" i="12"/>
  <c r="D8" i="12"/>
  <c r="L8" i="12"/>
  <c r="K9" i="11"/>
  <c r="N9" i="11"/>
  <c r="K11" i="11"/>
  <c r="N11" i="11" s="1"/>
  <c r="K12" i="11"/>
  <c r="N12" i="11" s="1"/>
  <c r="K13" i="11"/>
  <c r="N13" i="11" s="1"/>
  <c r="K14" i="11"/>
  <c r="N14" i="11" s="1"/>
  <c r="K16" i="11"/>
  <c r="N16" i="11"/>
  <c r="K17" i="11"/>
  <c r="N17" i="11"/>
  <c r="K18" i="11"/>
  <c r="N18" i="11" s="1"/>
  <c r="K19" i="11"/>
  <c r="N19" i="11" s="1"/>
  <c r="K20" i="11"/>
  <c r="N20" i="11" s="1"/>
  <c r="K22" i="11"/>
  <c r="N22" i="11" s="1"/>
  <c r="K23" i="11"/>
  <c r="N23" i="11"/>
  <c r="K24" i="11"/>
  <c r="N24" i="11"/>
  <c r="K26" i="11"/>
  <c r="N26" i="11" s="1"/>
  <c r="K28" i="11"/>
  <c r="N28" i="11" s="1"/>
  <c r="K29" i="11"/>
  <c r="N29" i="11" s="1"/>
  <c r="K30" i="11"/>
  <c r="N30" i="11" s="1"/>
  <c r="K31" i="11"/>
  <c r="N31" i="11"/>
  <c r="D32" i="12"/>
  <c r="F32" i="12"/>
  <c r="K33" i="11"/>
  <c r="N33" i="11" s="1"/>
  <c r="K35" i="11"/>
  <c r="N35" i="11" s="1"/>
  <c r="K37" i="11"/>
  <c r="N37" i="11" s="1"/>
  <c r="K38" i="11"/>
  <c r="N38" i="11" s="1"/>
  <c r="K40" i="11"/>
  <c r="N40" i="11"/>
  <c r="K42" i="11"/>
  <c r="N42" i="11"/>
  <c r="K44" i="11"/>
  <c r="N44" i="11" s="1"/>
  <c r="K47" i="11"/>
  <c r="N47" i="11" s="1"/>
  <c r="K49" i="11"/>
  <c r="N49" i="11" s="1"/>
  <c r="K50" i="11"/>
  <c r="N50" i="11" s="1"/>
  <c r="K54" i="11"/>
  <c r="N54" i="11"/>
  <c r="K59" i="11"/>
  <c r="N59" i="11"/>
  <c r="K60" i="11"/>
  <c r="N60" i="11" s="1"/>
  <c r="K61" i="11"/>
  <c r="N61" i="11" s="1"/>
  <c r="K62" i="11"/>
  <c r="N62" i="11" s="1"/>
  <c r="K64" i="11"/>
  <c r="N64" i="11" s="1"/>
  <c r="K65" i="11"/>
  <c r="N65" i="11"/>
  <c r="K66" i="11"/>
  <c r="N66" i="11"/>
  <c r="K67" i="11"/>
  <c r="N67" i="11" s="1"/>
  <c r="K68" i="11"/>
  <c r="N68" i="11" s="1"/>
  <c r="K69" i="11"/>
  <c r="N69" i="11" s="1"/>
  <c r="K70" i="11"/>
  <c r="N70" i="11" s="1"/>
  <c r="K72" i="11"/>
  <c r="N72" i="11"/>
  <c r="K73" i="11"/>
  <c r="N73" i="11"/>
  <c r="K74" i="11"/>
  <c r="N74" i="11" s="1"/>
  <c r="K77" i="11"/>
  <c r="N77" i="11" s="1"/>
  <c r="K78" i="11"/>
  <c r="N78" i="11" s="1"/>
  <c r="K79" i="11"/>
  <c r="N79" i="11" s="1"/>
  <c r="K80" i="11"/>
  <c r="N80" i="11"/>
  <c r="K81" i="11"/>
  <c r="N81" i="11"/>
  <c r="K82" i="11"/>
  <c r="N82" i="11" s="1"/>
  <c r="K83" i="11"/>
  <c r="N83" i="11" s="1"/>
  <c r="K85" i="11"/>
  <c r="N85" i="11" s="1"/>
  <c r="K86" i="11"/>
  <c r="N86" i="11" s="1"/>
  <c r="K88" i="11"/>
  <c r="N88" i="11"/>
  <c r="K89" i="11"/>
  <c r="N89" i="11"/>
  <c r="K90" i="11"/>
  <c r="N90" i="11" s="1"/>
  <c r="K93" i="11"/>
  <c r="N93" i="11" s="1"/>
  <c r="K94" i="11"/>
  <c r="N94" i="11" s="1"/>
  <c r="K96" i="11"/>
  <c r="N96" i="11" s="1"/>
  <c r="K99" i="11"/>
  <c r="N99" i="11"/>
  <c r="K101" i="11"/>
  <c r="N101" i="11"/>
  <c r="K103" i="11"/>
  <c r="N103" i="11" s="1"/>
  <c r="K105" i="11"/>
  <c r="N105" i="11" s="1"/>
  <c r="K106" i="11"/>
  <c r="N106" i="11" s="1"/>
  <c r="K107" i="11"/>
  <c r="N107" i="11" s="1"/>
  <c r="K108" i="11"/>
  <c r="N108" i="11"/>
  <c r="K109" i="11"/>
  <c r="N109" i="11"/>
  <c r="K110" i="11"/>
  <c r="N110" i="11" s="1"/>
  <c r="K111" i="11"/>
  <c r="N111" i="11" s="1"/>
  <c r="K112" i="11"/>
  <c r="N112" i="11" s="1"/>
  <c r="K113" i="11"/>
  <c r="N113" i="11" s="1"/>
  <c r="K114" i="11"/>
  <c r="N114" i="11"/>
  <c r="K115" i="11"/>
  <c r="N115" i="11"/>
  <c r="K116" i="11"/>
  <c r="N116" i="11" s="1"/>
  <c r="K117" i="11"/>
  <c r="N117" i="11" s="1"/>
  <c r="K118" i="11"/>
  <c r="N118" i="11" s="1"/>
  <c r="K121" i="11"/>
  <c r="N121" i="11" s="1"/>
  <c r="K123" i="11"/>
  <c r="N123" i="11"/>
  <c r="K125" i="11"/>
  <c r="N125" i="11"/>
  <c r="K127" i="11"/>
  <c r="N127" i="11" s="1"/>
  <c r="K128" i="11"/>
  <c r="N128" i="11" s="1"/>
  <c r="K129" i="11"/>
  <c r="N129" i="11" s="1"/>
  <c r="K130" i="11"/>
  <c r="N130" i="11" s="1"/>
  <c r="K131" i="11"/>
  <c r="N131" i="11"/>
  <c r="K132" i="11"/>
  <c r="N132" i="11"/>
  <c r="K133" i="11"/>
  <c r="N133" i="11" s="1"/>
  <c r="K134" i="11"/>
  <c r="N134" i="11" s="1"/>
  <c r="K136" i="11"/>
  <c r="N136" i="11" s="1"/>
  <c r="K137" i="11"/>
  <c r="N137" i="11" s="1"/>
  <c r="K138" i="11"/>
  <c r="N138" i="11"/>
  <c r="K140" i="11"/>
  <c r="N140" i="11"/>
  <c r="K141" i="11"/>
  <c r="N141" i="11" s="1"/>
  <c r="K142" i="11"/>
  <c r="N142" i="11" s="1"/>
  <c r="K143" i="11"/>
  <c r="N143" i="11" s="1"/>
  <c r="K144" i="11"/>
  <c r="N144" i="11" s="1"/>
  <c r="K145" i="11"/>
  <c r="N145" i="11"/>
  <c r="K146" i="11"/>
  <c r="N146" i="11"/>
  <c r="K149" i="11"/>
  <c r="N149" i="11" s="1"/>
  <c r="K152" i="11"/>
  <c r="N152" i="11" s="1"/>
  <c r="K155" i="11"/>
  <c r="N155" i="11" s="1"/>
  <c r="K156" i="11"/>
  <c r="N156" i="11" s="1"/>
  <c r="K157" i="11"/>
  <c r="N157" i="11"/>
  <c r="K158" i="11"/>
  <c r="N158" i="11"/>
  <c r="K159" i="11"/>
  <c r="N159" i="11" s="1"/>
  <c r="K160" i="11"/>
  <c r="N160" i="11" s="1"/>
  <c r="K161" i="11"/>
  <c r="N161" i="11" s="1"/>
  <c r="K163" i="11"/>
  <c r="N163" i="11" s="1"/>
  <c r="K164" i="11"/>
  <c r="N164" i="11"/>
  <c r="K165" i="11"/>
  <c r="N165" i="11"/>
  <c r="K166" i="11"/>
  <c r="N166" i="11" s="1"/>
  <c r="I156" i="12"/>
  <c r="I55" i="12"/>
  <c r="M27" i="12"/>
  <c r="I23" i="12"/>
  <c r="G23" i="12"/>
  <c r="L156" i="12"/>
  <c r="G156" i="12"/>
  <c r="M156" i="12"/>
  <c r="H156" i="12"/>
  <c r="F66" i="12"/>
  <c r="M115" i="12"/>
  <c r="F12" i="12"/>
  <c r="M12" i="12"/>
  <c r="E12" i="12"/>
  <c r="L85" i="12"/>
  <c r="L34" i="12"/>
  <c r="G152" i="12"/>
  <c r="F95" i="12"/>
  <c r="F158" i="12"/>
  <c r="F179" i="12"/>
  <c r="G65" i="12"/>
  <c r="M65" i="12"/>
  <c r="H23" i="12"/>
  <c r="G117" i="12"/>
  <c r="H117" i="12"/>
  <c r="H74" i="12"/>
  <c r="F14" i="12"/>
  <c r="E23" i="12"/>
  <c r="K23" i="12" s="1"/>
  <c r="N23" i="12" s="1"/>
  <c r="F23" i="12"/>
  <c r="M67" i="12"/>
  <c r="L23" i="12"/>
  <c r="M111" i="12"/>
  <c r="F86" i="12"/>
  <c r="G143" i="12"/>
  <c r="H38" i="12"/>
  <c r="F87" i="12"/>
  <c r="I129" i="12"/>
  <c r="H31" i="12"/>
  <c r="F107" i="12"/>
  <c r="L125" i="12"/>
  <c r="L107" i="12"/>
  <c r="M132" i="12"/>
  <c r="H155" i="12"/>
  <c r="L12" i="12"/>
  <c r="H47" i="12"/>
  <c r="M142" i="12"/>
  <c r="M73" i="12"/>
  <c r="I66" i="12"/>
  <c r="H137" i="12"/>
  <c r="I97" i="12"/>
  <c r="M131" i="12"/>
  <c r="L108" i="12"/>
  <c r="G107" i="12"/>
  <c r="H108" i="12"/>
  <c r="I15" i="12"/>
  <c r="H143" i="12"/>
  <c r="I143" i="12"/>
  <c r="E127" i="12"/>
  <c r="L24" i="12"/>
  <c r="I117" i="12"/>
  <c r="E29" i="12"/>
  <c r="M30" i="12"/>
  <c r="H15" i="12"/>
  <c r="L30" i="12"/>
  <c r="M60" i="12"/>
  <c r="M36" i="12"/>
  <c r="H26" i="12"/>
  <c r="E156" i="12"/>
  <c r="K156" i="12" s="1"/>
  <c r="F132" i="12"/>
  <c r="F59" i="12"/>
  <c r="L15" i="12"/>
  <c r="L52" i="12"/>
  <c r="L150" i="12"/>
  <c r="E30" i="12"/>
  <c r="E138" i="12"/>
  <c r="E36" i="12"/>
  <c r="K35" i="12" s="1"/>
  <c r="N35" i="12" s="1"/>
  <c r="I36" i="12"/>
  <c r="F48" i="12"/>
  <c r="F24" i="12"/>
  <c r="I152" i="12"/>
  <c r="E28" i="12"/>
  <c r="G60" i="12"/>
  <c r="F29" i="12"/>
  <c r="F130" i="12"/>
  <c r="E24" i="12"/>
  <c r="F97" i="12"/>
  <c r="H24" i="12"/>
  <c r="F62" i="12"/>
  <c r="I24" i="12"/>
  <c r="L36" i="12"/>
  <c r="F52" i="12"/>
  <c r="H138" i="12"/>
  <c r="H30" i="12"/>
  <c r="I86" i="12"/>
  <c r="F138" i="12"/>
  <c r="L138" i="12"/>
  <c r="G137" i="12"/>
  <c r="H36" i="12"/>
  <c r="G29" i="12"/>
  <c r="I52" i="12"/>
  <c r="F115" i="12"/>
  <c r="E97" i="12"/>
  <c r="L106" i="12"/>
  <c r="G48" i="12"/>
  <c r="L25" i="12"/>
  <c r="F141" i="12"/>
  <c r="E60" i="12"/>
  <c r="I153" i="12"/>
  <c r="M43" i="12"/>
  <c r="M153" i="12"/>
  <c r="M108" i="12"/>
  <c r="L88" i="12"/>
  <c r="F38" i="12"/>
  <c r="F83" i="12"/>
  <c r="F108" i="12"/>
  <c r="I65" i="12"/>
  <c r="M138" i="12"/>
  <c r="H105" i="12"/>
  <c r="F126" i="12"/>
  <c r="L45" i="12"/>
  <c r="I166" i="12"/>
  <c r="M107" i="12"/>
  <c r="G85" i="12"/>
  <c r="G15" i="12"/>
  <c r="G111" i="12"/>
  <c r="I89" i="12"/>
  <c r="F85" i="12"/>
  <c r="K85" i="12" s="1"/>
  <c r="N85" i="12" s="1"/>
  <c r="F127" i="12"/>
  <c r="L43" i="12"/>
  <c r="L91" i="12"/>
  <c r="F65" i="12"/>
  <c r="K65" i="12" s="1"/>
  <c r="N65" i="12" s="1"/>
  <c r="H107" i="12"/>
  <c r="E108" i="12"/>
  <c r="H83" i="12"/>
  <c r="F43" i="12"/>
  <c r="K43" i="12" s="1"/>
  <c r="N43" i="12" s="1"/>
  <c r="H42" i="12"/>
  <c r="E59" i="12"/>
  <c r="H86" i="12"/>
  <c r="H67" i="12"/>
  <c r="G10" i="12"/>
  <c r="E43" i="12"/>
  <c r="E83" i="12"/>
  <c r="I69" i="12"/>
  <c r="M85" i="12"/>
  <c r="F128" i="12"/>
  <c r="H111" i="12"/>
  <c r="L10" i="12"/>
  <c r="E65" i="12"/>
  <c r="M91" i="12"/>
  <c r="G127" i="12"/>
  <c r="M86" i="12"/>
  <c r="E39" i="12"/>
  <c r="M42" i="12"/>
  <c r="F106" i="12"/>
  <c r="M84" i="12"/>
  <c r="I107" i="12"/>
  <c r="F42" i="12"/>
  <c r="I125" i="12"/>
  <c r="F89" i="12"/>
  <c r="H100" i="12"/>
  <c r="I44" i="12"/>
  <c r="G138" i="12"/>
  <c r="M66" i="12"/>
  <c r="I14" i="12"/>
  <c r="I42" i="12"/>
  <c r="G13" i="12"/>
  <c r="I127" i="12"/>
  <c r="E114" i="12"/>
  <c r="E87" i="12"/>
  <c r="F153" i="12"/>
  <c r="G42" i="12"/>
  <c r="I43" i="12"/>
  <c r="M106" i="12"/>
  <c r="E51" i="12"/>
  <c r="E85" i="12"/>
  <c r="I108" i="12"/>
  <c r="G86" i="12"/>
  <c r="K86" i="12" s="1"/>
  <c r="N86" i="12" s="1"/>
  <c r="M61" i="12"/>
  <c r="L76" i="12"/>
  <c r="H166" i="12"/>
  <c r="M38" i="12"/>
  <c r="G129" i="12"/>
  <c r="H127" i="12"/>
  <c r="K127" i="12" s="1"/>
  <c r="N127" i="12" s="1"/>
  <c r="H85" i="12"/>
  <c r="E44" i="12"/>
  <c r="F71" i="12"/>
  <c r="M83" i="12"/>
  <c r="E86" i="12"/>
  <c r="L82" i="12"/>
  <c r="F166" i="12"/>
  <c r="I90" i="12"/>
  <c r="F69" i="12"/>
  <c r="G131" i="12"/>
  <c r="M166" i="12"/>
  <c r="G142" i="12"/>
  <c r="F155" i="12"/>
  <c r="I155" i="12"/>
  <c r="I31" i="12"/>
  <c r="E116" i="12"/>
  <c r="I33" i="12"/>
  <c r="E18" i="12"/>
  <c r="F103" i="12"/>
  <c r="L117" i="12"/>
  <c r="M59" i="12"/>
  <c r="G59" i="12"/>
  <c r="G88" i="12"/>
  <c r="M127" i="12"/>
  <c r="E143" i="12"/>
  <c r="F18" i="12"/>
  <c r="G103" i="12"/>
  <c r="G22" i="12"/>
  <c r="E155" i="12"/>
  <c r="E72" i="12"/>
  <c r="M25" i="12"/>
  <c r="M152" i="12"/>
  <c r="E117" i="12"/>
  <c r="K117" i="12" s="1"/>
  <c r="N117" i="12"/>
  <c r="M103" i="12"/>
  <c r="I135" i="12"/>
  <c r="G72" i="12"/>
  <c r="F105" i="12"/>
  <c r="K105" i="12" s="1"/>
  <c r="N105" i="12" s="1"/>
  <c r="I71" i="12"/>
  <c r="H28" i="12"/>
  <c r="H48" i="12"/>
  <c r="L71" i="12"/>
  <c r="L59" i="12"/>
  <c r="F50" i="12"/>
  <c r="E132" i="12"/>
  <c r="I12" i="12"/>
  <c r="E125" i="12"/>
  <c r="E14" i="12"/>
  <c r="E101" i="12"/>
  <c r="K101" i="12" s="1"/>
  <c r="N101" i="12" s="1"/>
  <c r="H50" i="12"/>
  <c r="H116" i="12"/>
  <c r="L155" i="12"/>
  <c r="I116" i="12"/>
  <c r="F22" i="12"/>
  <c r="L166" i="12"/>
  <c r="H13" i="12"/>
  <c r="K13" i="12" s="1"/>
  <c r="N13" i="12" s="1"/>
  <c r="I131" i="12"/>
  <c r="G116" i="12"/>
  <c r="H134" i="12"/>
  <c r="F131" i="12"/>
  <c r="K131" i="12" s="1"/>
  <c r="L13" i="12"/>
  <c r="E131" i="12"/>
  <c r="G47" i="12"/>
  <c r="H22" i="12"/>
  <c r="L44" i="12"/>
  <c r="G147" i="12"/>
  <c r="H101" i="12"/>
  <c r="G132" i="12"/>
  <c r="E140" i="12"/>
  <c r="K140" i="12" s="1"/>
  <c r="N140" i="12" s="1"/>
  <c r="L132" i="12"/>
  <c r="F157" i="12"/>
  <c r="E121" i="12"/>
  <c r="E81" i="12"/>
  <c r="M105" i="12"/>
  <c r="L116" i="12"/>
  <c r="G12" i="12"/>
  <c r="M72" i="12"/>
  <c r="E22" i="12"/>
  <c r="H71" i="12"/>
  <c r="M19" i="12"/>
  <c r="E166" i="12"/>
  <c r="K166" i="12" s="1"/>
  <c r="N166" i="12" s="1"/>
  <c r="L16" i="12"/>
  <c r="M50" i="12"/>
  <c r="I13" i="12"/>
  <c r="G101" i="12"/>
  <c r="H69" i="12"/>
  <c r="L47" i="12"/>
  <c r="G50" i="12"/>
  <c r="L101" i="12"/>
  <c r="H132" i="12"/>
  <c r="G43" i="12"/>
  <c r="G71" i="12"/>
  <c r="F143" i="12"/>
  <c r="K143" i="12" s="1"/>
  <c r="N143" i="12" s="1"/>
  <c r="H133" i="12"/>
  <c r="G118" i="12"/>
  <c r="I59" i="12"/>
  <c r="M116" i="12"/>
  <c r="L22" i="12"/>
  <c r="I28" i="12"/>
  <c r="M101" i="12"/>
  <c r="F117" i="12"/>
  <c r="E69" i="12"/>
  <c r="I72" i="12"/>
  <c r="L131" i="12"/>
  <c r="E105" i="12"/>
  <c r="E55" i="12"/>
  <c r="M150" i="12"/>
  <c r="G155" i="12"/>
  <c r="G90" i="12"/>
  <c r="G28" i="12"/>
  <c r="L143" i="12"/>
  <c r="E74" i="12"/>
  <c r="M22" i="12"/>
  <c r="I30" i="12"/>
  <c r="I137" i="12"/>
  <c r="M118" i="12"/>
  <c r="E38" i="12"/>
  <c r="I50" i="12"/>
  <c r="L105" i="12"/>
  <c r="G19" i="12"/>
  <c r="G105" i="12"/>
  <c r="E47" i="12"/>
  <c r="H73" i="12"/>
  <c r="M13" i="12"/>
  <c r="L39" i="12"/>
  <c r="I16" i="12"/>
  <c r="L124" i="12"/>
  <c r="G24" i="12"/>
  <c r="E52" i="12"/>
  <c r="F16" i="12"/>
  <c r="M71" i="12"/>
  <c r="M112" i="12"/>
  <c r="F78" i="12"/>
  <c r="L38" i="12"/>
  <c r="H84" i="12"/>
  <c r="H128" i="12"/>
  <c r="H77" i="12"/>
  <c r="H141" i="12"/>
  <c r="E62" i="12"/>
  <c r="E128" i="12"/>
  <c r="L129" i="12"/>
  <c r="H89" i="12"/>
  <c r="E73" i="12"/>
  <c r="L55" i="12"/>
  <c r="E3" i="12"/>
  <c r="G3" i="12"/>
  <c r="F15" i="12"/>
  <c r="G40" i="12"/>
  <c r="M128" i="12"/>
  <c r="I128" i="12"/>
  <c r="I87" i="12"/>
  <c r="L89" i="12"/>
  <c r="M64" i="12"/>
  <c r="I40" i="12"/>
  <c r="G39" i="12"/>
  <c r="G36" i="12"/>
  <c r="F73" i="12"/>
  <c r="F33" i="12"/>
  <c r="M87" i="12"/>
  <c r="E129" i="12"/>
  <c r="G112" i="12"/>
  <c r="I74" i="12"/>
  <c r="L78" i="12"/>
  <c r="G78" i="12"/>
  <c r="I3" i="12"/>
  <c r="H3" i="12"/>
  <c r="M39" i="12"/>
  <c r="H55" i="12"/>
  <c r="L18" i="12"/>
  <c r="G74" i="12"/>
  <c r="H40" i="12"/>
  <c r="L141" i="12"/>
  <c r="E146" i="12"/>
  <c r="L4" i="12"/>
  <c r="E95" i="12"/>
  <c r="G38" i="12"/>
  <c r="G18" i="12"/>
  <c r="F74" i="12"/>
  <c r="F40" i="12"/>
  <c r="G158" i="12"/>
  <c r="H147" i="12"/>
  <c r="L114" i="12"/>
  <c r="H129" i="12"/>
  <c r="I111" i="12"/>
  <c r="I39" i="12"/>
  <c r="I158" i="12"/>
  <c r="E133" i="12"/>
  <c r="K133" i="12" s="1"/>
  <c r="N133" i="12" s="1"/>
  <c r="I63" i="12"/>
  <c r="L40" i="12"/>
  <c r="L158" i="12"/>
  <c r="I62" i="12"/>
  <c r="G83" i="12"/>
  <c r="L68" i="12"/>
  <c r="I47" i="12"/>
  <c r="F6" i="12"/>
  <c r="F129" i="12"/>
  <c r="E15" i="12"/>
  <c r="G157" i="12"/>
  <c r="K157" i="12" s="1"/>
  <c r="N157" i="12" s="1"/>
  <c r="H124" i="12"/>
  <c r="M3" i="12"/>
  <c r="H114" i="12"/>
  <c r="L72" i="12"/>
  <c r="M6" i="12"/>
  <c r="L94" i="12"/>
  <c r="E152" i="12"/>
  <c r="G6" i="12"/>
  <c r="H39" i="12"/>
  <c r="L111" i="12"/>
  <c r="E89" i="12"/>
  <c r="K89" i="12" s="1"/>
  <c r="M157" i="12"/>
  <c r="E147" i="12"/>
  <c r="L60" i="12"/>
  <c r="M62" i="12"/>
  <c r="E124" i="12"/>
  <c r="E109" i="12"/>
  <c r="E141" i="12"/>
  <c r="L147" i="12"/>
  <c r="H64" i="12"/>
  <c r="I140" i="12"/>
  <c r="M158" i="12"/>
  <c r="F140" i="12"/>
  <c r="H152" i="12"/>
  <c r="I141" i="12"/>
  <c r="F112" i="12"/>
  <c r="L152" i="12"/>
  <c r="E78" i="12"/>
  <c r="F147" i="12"/>
  <c r="E111" i="12"/>
  <c r="G64" i="12"/>
  <c r="I157" i="12"/>
  <c r="L140" i="12"/>
  <c r="H60" i="12"/>
  <c r="E77" i="12"/>
  <c r="K77" i="12" s="1"/>
  <c r="N77" i="12" s="1"/>
  <c r="F124" i="12"/>
  <c r="L81" i="12"/>
  <c r="G62" i="12"/>
  <c r="F77" i="12"/>
  <c r="G77" i="12"/>
  <c r="E64" i="12"/>
  <c r="K64" i="12" s="1"/>
  <c r="F72" i="12"/>
  <c r="L32" i="12"/>
  <c r="L157" i="12"/>
  <c r="G114" i="12"/>
  <c r="F55" i="12"/>
  <c r="M114" i="12"/>
  <c r="M94" i="12"/>
  <c r="E79" i="12"/>
  <c r="G140" i="12"/>
  <c r="F60" i="12"/>
  <c r="I73" i="12"/>
  <c r="M77" i="12"/>
  <c r="F135" i="12"/>
  <c r="F3" i="12"/>
  <c r="F79" i="12"/>
  <c r="I147" i="12"/>
  <c r="K146" i="12" s="1"/>
  <c r="E157" i="12"/>
  <c r="F114" i="12"/>
  <c r="G55" i="12"/>
  <c r="I64" i="12"/>
  <c r="L79" i="12"/>
  <c r="G87" i="12"/>
  <c r="L73" i="12"/>
  <c r="I83" i="12"/>
  <c r="E40" i="12"/>
  <c r="G94" i="12"/>
  <c r="L77" i="12"/>
  <c r="L64" i="12"/>
  <c r="N64" i="12" s="1"/>
  <c r="M98" i="12"/>
  <c r="H87" i="12"/>
  <c r="L102" i="12"/>
  <c r="I102" i="12"/>
  <c r="F37" i="12"/>
  <c r="L37" i="12"/>
  <c r="M35" i="12"/>
  <c r="H35" i="12"/>
  <c r="I35" i="12"/>
  <c r="L123" i="12"/>
  <c r="E49" i="12"/>
  <c r="F109" i="12"/>
  <c r="L145" i="12"/>
  <c r="M145" i="12"/>
  <c r="G145" i="12"/>
  <c r="I145" i="12"/>
  <c r="E123" i="12"/>
  <c r="E9" i="12"/>
  <c r="E37" i="12"/>
  <c r="G163" i="12"/>
  <c r="H93" i="12"/>
  <c r="M4" i="12"/>
  <c r="H161" i="12"/>
  <c r="I161" i="12"/>
  <c r="E161" i="12"/>
  <c r="F161" i="12"/>
  <c r="M161" i="12"/>
  <c r="M9" i="12"/>
  <c r="I70" i="12"/>
  <c r="L104" i="12"/>
  <c r="M37" i="12"/>
  <c r="G106" i="12"/>
  <c r="I106" i="12"/>
  <c r="M52" i="12"/>
  <c r="G52" i="12"/>
  <c r="E31" i="12"/>
  <c r="F31" i="12"/>
  <c r="L31" i="12"/>
  <c r="M11" i="12"/>
  <c r="E11" i="12"/>
  <c r="E16" i="12"/>
  <c r="M16" i="12"/>
  <c r="G121" i="12"/>
  <c r="H164" i="12"/>
  <c r="G164" i="12"/>
  <c r="K164" i="12" s="1"/>
  <c r="N164" i="12" s="1"/>
  <c r="L164" i="12"/>
  <c r="I164" i="12"/>
  <c r="G56" i="12"/>
  <c r="E56" i="12"/>
  <c r="L56" i="12"/>
  <c r="M56" i="12"/>
  <c r="H56" i="12"/>
  <c r="M123" i="12"/>
  <c r="E145" i="12"/>
  <c r="M149" i="12"/>
  <c r="G133" i="12"/>
  <c r="F133" i="12"/>
  <c r="I133" i="12"/>
  <c r="F17" i="12"/>
  <c r="I17" i="12"/>
  <c r="M124" i="12"/>
  <c r="G37" i="12"/>
  <c r="H144" i="12"/>
  <c r="L144" i="12"/>
  <c r="F54" i="12"/>
  <c r="G54" i="12"/>
  <c r="I37" i="12"/>
  <c r="G26" i="12"/>
  <c r="E144" i="12"/>
  <c r="M109" i="12"/>
  <c r="I49" i="12"/>
  <c r="I26" i="12"/>
  <c r="F9" i="12"/>
  <c r="M14" i="12"/>
  <c r="I81" i="12"/>
  <c r="H37" i="12"/>
  <c r="G69" i="12"/>
  <c r="M69" i="12"/>
  <c r="G49" i="12"/>
  <c r="I20" i="12"/>
  <c r="H20" i="12"/>
  <c r="M20" i="12"/>
  <c r="G20" i="12"/>
  <c r="L20" i="12"/>
  <c r="E20" i="12"/>
  <c r="I75" i="12"/>
  <c r="F75" i="12"/>
  <c r="M136" i="12"/>
  <c r="G136" i="12"/>
  <c r="I136" i="12"/>
  <c r="F136" i="12"/>
  <c r="K136" i="12" s="1"/>
  <c r="E110" i="12"/>
  <c r="F110" i="12"/>
  <c r="G110" i="12"/>
  <c r="K110" i="12" s="1"/>
  <c r="N110" i="12" s="1"/>
  <c r="L110" i="12"/>
  <c r="F134" i="12"/>
  <c r="E134" i="12"/>
  <c r="G134" i="12"/>
  <c r="F102" i="12"/>
  <c r="G123" i="12"/>
  <c r="L9" i="12"/>
  <c r="G35" i="12"/>
  <c r="L109" i="12"/>
  <c r="I93" i="12"/>
  <c r="F68" i="12"/>
  <c r="I68" i="12"/>
  <c r="E68" i="12"/>
  <c r="K68" i="12" s="1"/>
  <c r="N68" i="12" s="1"/>
  <c r="H145" i="12"/>
  <c r="H9" i="12"/>
  <c r="G119" i="12"/>
  <c r="G68" i="12"/>
  <c r="M33" i="12"/>
  <c r="H149" i="12"/>
  <c r="L95" i="12"/>
  <c r="G109" i="12"/>
  <c r="K109" i="12" s="1"/>
  <c r="M99" i="12"/>
  <c r="M26" i="12"/>
  <c r="L26" i="12"/>
  <c r="E26" i="12"/>
  <c r="E35" i="12"/>
  <c r="L50" i="12"/>
  <c r="I134" i="12"/>
  <c r="H136" i="12"/>
  <c r="L14" i="12"/>
  <c r="M163" i="12"/>
  <c r="L161" i="12"/>
  <c r="L75" i="12"/>
  <c r="E70" i="12"/>
  <c r="M7" i="12"/>
  <c r="F7" i="12"/>
  <c r="H7" i="12"/>
  <c r="E96" i="12"/>
  <c r="G96" i="12"/>
  <c r="L96" i="12"/>
  <c r="M96" i="12"/>
  <c r="F96" i="12"/>
  <c r="E48" i="12"/>
  <c r="L48" i="12"/>
  <c r="I48" i="12"/>
  <c r="G126" i="12"/>
  <c r="I126" i="12"/>
  <c r="I165" i="12"/>
  <c r="F165" i="12"/>
  <c r="G165" i="12"/>
  <c r="M121" i="12"/>
  <c r="M75" i="12"/>
  <c r="F82" i="12"/>
  <c r="E82" i="12"/>
  <c r="M82" i="12"/>
  <c r="G45" i="12"/>
  <c r="H45" i="12"/>
  <c r="F45" i="12"/>
  <c r="H95" i="12"/>
  <c r="G67" i="12"/>
  <c r="E67" i="12"/>
  <c r="I67" i="12"/>
  <c r="L54" i="12"/>
  <c r="M164" i="12"/>
  <c r="G95" i="12"/>
  <c r="L133" i="12"/>
  <c r="H16" i="12"/>
  <c r="H165" i="12"/>
  <c r="G161" i="12"/>
  <c r="M68" i="12"/>
  <c r="E32" i="12"/>
  <c r="H32" i="12"/>
  <c r="G32" i="12"/>
  <c r="I32" i="12"/>
  <c r="M32" i="12"/>
  <c r="L112" i="12"/>
  <c r="I112" i="12"/>
  <c r="E112" i="12"/>
  <c r="G79" i="12"/>
  <c r="H79" i="12"/>
  <c r="M79" i="12"/>
  <c r="M53" i="12"/>
  <c r="E149" i="12"/>
  <c r="L149" i="12"/>
  <c r="G149" i="12"/>
  <c r="E93" i="12"/>
  <c r="F93" i="12"/>
  <c r="H121" i="12"/>
  <c r="I121" i="12"/>
  <c r="G93" i="12"/>
  <c r="E130" i="12"/>
  <c r="G130" i="12"/>
  <c r="M130" i="12"/>
  <c r="H130" i="12"/>
  <c r="H61" i="12"/>
  <c r="F61" i="12"/>
  <c r="K61" i="12" s="1"/>
  <c r="N61" i="12" s="1"/>
  <c r="I61" i="12"/>
  <c r="E61" i="12"/>
  <c r="G124" i="12"/>
  <c r="M95" i="12"/>
  <c r="G82" i="12"/>
  <c r="K82" i="12" s="1"/>
  <c r="N82" i="12" s="1"/>
  <c r="L11" i="12"/>
  <c r="E33" i="12"/>
  <c r="I54" i="12"/>
  <c r="F80" i="12"/>
  <c r="L136" i="12"/>
  <c r="H82" i="12"/>
  <c r="E164" i="12"/>
  <c r="F67" i="12"/>
  <c r="F121" i="12"/>
  <c r="F99" i="12"/>
  <c r="H14" i="12"/>
  <c r="M70" i="12"/>
  <c r="G125" i="12"/>
  <c r="M125" i="12"/>
  <c r="H125" i="12"/>
  <c r="H94" i="12"/>
  <c r="E94" i="12"/>
  <c r="H146" i="12"/>
  <c r="F146" i="12"/>
  <c r="I146" i="12"/>
  <c r="M146" i="12"/>
  <c r="I110" i="12"/>
  <c r="H49" i="12"/>
  <c r="M49" i="12"/>
  <c r="F49" i="12"/>
  <c r="G9" i="12"/>
  <c r="M134" i="12"/>
  <c r="F4" i="12"/>
  <c r="I4" i="12"/>
  <c r="E4" i="12"/>
  <c r="H81" i="12"/>
  <c r="F81" i="12"/>
  <c r="G81" i="12"/>
  <c r="K81" i="12" s="1"/>
  <c r="N81" i="12" s="1"/>
  <c r="F28" i="12"/>
  <c r="M28" i="12"/>
  <c r="L61" i="12"/>
  <c r="H54" i="12"/>
  <c r="M165" i="12"/>
  <c r="E75" i="12"/>
  <c r="M45" i="12"/>
  <c r="L130" i="12"/>
  <c r="F56" i="12"/>
  <c r="G4" i="12"/>
  <c r="G70" i="12"/>
  <c r="F70" i="12"/>
  <c r="K70" i="12" s="1"/>
  <c r="M54" i="12"/>
  <c r="F149" i="12"/>
  <c r="L137" i="12"/>
  <c r="M137" i="12"/>
  <c r="E137" i="12"/>
  <c r="F123" i="12"/>
  <c r="M93" i="12"/>
  <c r="G75" i="12"/>
  <c r="F47" i="12"/>
  <c r="M44" i="12"/>
  <c r="E66" i="12"/>
  <c r="L139" i="12"/>
  <c r="I18" i="12"/>
  <c r="G141" i="12"/>
  <c r="H65" i="12"/>
  <c r="G159" i="12"/>
  <c r="G89" i="12"/>
  <c r="G44" i="12"/>
  <c r="K44" i="12" s="1"/>
  <c r="H19" i="12"/>
  <c r="I84" i="12"/>
  <c r="L97" i="12"/>
  <c r="H62" i="12"/>
  <c r="E19" i="12"/>
  <c r="F160" i="12"/>
  <c r="F44" i="12"/>
  <c r="I159" i="12"/>
  <c r="H66" i="12"/>
  <c r="M135" i="12"/>
  <c r="F159" i="12"/>
  <c r="K159" i="12" s="1"/>
  <c r="L159" i="12"/>
  <c r="I19" i="12"/>
  <c r="H160" i="12"/>
  <c r="G66" i="12"/>
  <c r="H159" i="12"/>
  <c r="M78" i="12"/>
  <c r="G34" i="12"/>
  <c r="F19" i="12"/>
  <c r="E159" i="12"/>
  <c r="K78" i="12"/>
  <c r="N78" i="12" s="1"/>
  <c r="K30" i="12"/>
  <c r="N30" i="12" s="1"/>
  <c r="K107" i="12"/>
  <c r="N107" i="12"/>
  <c r="K108" i="12"/>
  <c r="N108" i="12"/>
  <c r="K128" i="12"/>
  <c r="N128" i="12" s="1"/>
  <c r="K60" i="12"/>
  <c r="N60" i="12"/>
  <c r="K114" i="12"/>
  <c r="N114" i="12" s="1"/>
  <c r="K132" i="12"/>
  <c r="N132" i="12" s="1"/>
  <c r="K116" i="12"/>
  <c r="N116" i="12"/>
  <c r="K22" i="12"/>
  <c r="N22" i="12" s="1"/>
  <c r="K38" i="12"/>
  <c r="N38" i="12"/>
  <c r="K12" i="12"/>
  <c r="N12" i="12" s="1"/>
  <c r="K59" i="12"/>
  <c r="N59" i="12" s="1"/>
  <c r="K42" i="12"/>
  <c r="N42" i="12" s="1"/>
  <c r="N136" i="12"/>
  <c r="K137" i="12"/>
  <c r="N137" i="12" s="1"/>
  <c r="K155" i="12"/>
  <c r="N155" i="12" s="1"/>
  <c r="K69" i="12"/>
  <c r="N69" i="12"/>
  <c r="K158" i="12"/>
  <c r="N158" i="12" s="1"/>
  <c r="K54" i="12"/>
  <c r="N54" i="12" s="1"/>
  <c r="K72" i="12"/>
  <c r="N72" i="12" s="1"/>
  <c r="K79" i="12"/>
  <c r="N79" i="12"/>
  <c r="K112" i="12"/>
  <c r="N112" i="12" s="1"/>
  <c r="N89" i="12"/>
  <c r="K141" i="12"/>
  <c r="N141" i="12" s="1"/>
  <c r="K111" i="12"/>
  <c r="N111" i="12"/>
  <c r="K94" i="12"/>
  <c r="N94" i="12" s="1"/>
  <c r="K16" i="12"/>
  <c r="N16" i="12"/>
  <c r="K106" i="12"/>
  <c r="N106" i="12" s="1"/>
  <c r="K47" i="12"/>
  <c r="K129" i="12"/>
  <c r="N129" i="12" s="1"/>
  <c r="K145" i="12"/>
  <c r="N145" i="12" s="1"/>
  <c r="K67" i="12"/>
  <c r="N67" i="12" s="1"/>
  <c r="K161" i="12"/>
  <c r="K49" i="12"/>
  <c r="N49" i="12" s="1"/>
  <c r="K19" i="12"/>
  <c r="N19" i="12" s="1"/>
  <c r="N146" i="12" l="1"/>
  <c r="K121" i="12"/>
  <c r="N121" i="12" s="1"/>
  <c r="N131" i="12"/>
  <c r="G97" i="12"/>
  <c r="H97" i="12"/>
  <c r="K96" i="12" s="1"/>
  <c r="N96" i="12" s="1"/>
  <c r="M97" i="12"/>
  <c r="F154" i="12"/>
  <c r="K152" i="12" s="1"/>
  <c r="N152" i="12" s="1"/>
  <c r="L154" i="12"/>
  <c r="D167" i="12"/>
  <c r="K165" i="12"/>
  <c r="N165" i="12" s="1"/>
  <c r="K31" i="12"/>
  <c r="N31" i="12" s="1"/>
  <c r="K74" i="12"/>
  <c r="N74" i="12" s="1"/>
  <c r="K73" i="12"/>
  <c r="N73" i="12" s="1"/>
  <c r="F5" i="12"/>
  <c r="L5" i="12"/>
  <c r="M100" i="12"/>
  <c r="L100" i="12"/>
  <c r="F100" i="12"/>
  <c r="E100" i="12"/>
  <c r="I100" i="12"/>
  <c r="G100" i="12"/>
  <c r="K55" i="12"/>
  <c r="N55" i="12" s="1"/>
  <c r="E21" i="12"/>
  <c r="F142" i="12"/>
  <c r="E142" i="12"/>
  <c r="H142" i="12"/>
  <c r="L142" i="12"/>
  <c r="I142" i="12"/>
  <c r="G84" i="12"/>
  <c r="E84" i="12"/>
  <c r="K83" i="12" s="1"/>
  <c r="N83" i="12" s="1"/>
  <c r="F84" i="12"/>
  <c r="L84" i="12"/>
  <c r="H126" i="12"/>
  <c r="K125" i="12" s="1"/>
  <c r="N125" i="12" s="1"/>
  <c r="M126" i="12"/>
  <c r="L126" i="12"/>
  <c r="E126" i="12"/>
  <c r="M80" i="12"/>
  <c r="H80" i="12"/>
  <c r="I80" i="12"/>
  <c r="H113" i="12"/>
  <c r="L57" i="12"/>
  <c r="F57" i="12"/>
  <c r="G57" i="12"/>
  <c r="M57" i="12"/>
  <c r="E80" i="12"/>
  <c r="K80" i="12" s="1"/>
  <c r="N80" i="12" s="1"/>
  <c r="N109" i="12"/>
  <c r="I113" i="12"/>
  <c r="E113" i="12"/>
  <c r="G113" i="12"/>
  <c r="L46" i="12"/>
  <c r="N44" i="12" s="1"/>
  <c r="M46" i="12"/>
  <c r="F113" i="12"/>
  <c r="K3" i="12"/>
  <c r="K37" i="12"/>
  <c r="N37" i="12" s="1"/>
  <c r="K24" i="12"/>
  <c r="N24" i="12" s="1"/>
  <c r="F88" i="12"/>
  <c r="M88" i="12"/>
  <c r="H88" i="12"/>
  <c r="I88" i="12"/>
  <c r="E88" i="12"/>
  <c r="H33" i="12"/>
  <c r="L33" i="12"/>
  <c r="G33" i="12"/>
  <c r="E91" i="12"/>
  <c r="H91" i="12"/>
  <c r="G91" i="12"/>
  <c r="I91" i="12"/>
  <c r="F91" i="12"/>
  <c r="K130" i="12"/>
  <c r="N130" i="12" s="1"/>
  <c r="E57" i="12"/>
  <c r="K56" i="12" s="1"/>
  <c r="N56" i="12" s="1"/>
  <c r="M113" i="12"/>
  <c r="L63" i="12"/>
  <c r="M63" i="12"/>
  <c r="H63" i="12"/>
  <c r="G63" i="12"/>
  <c r="F63" i="12"/>
  <c r="E63" i="12"/>
  <c r="K62" i="12" s="1"/>
  <c r="N62" i="12" s="1"/>
  <c r="I150" i="12"/>
  <c r="F150" i="12"/>
  <c r="H150" i="12"/>
  <c r="G150" i="12"/>
  <c r="E150" i="12"/>
  <c r="K149" i="12" s="1"/>
  <c r="N149" i="12" s="1"/>
  <c r="H27" i="12"/>
  <c r="I27" i="12"/>
  <c r="L27" i="12"/>
  <c r="G27" i="12"/>
  <c r="F27" i="12"/>
  <c r="N159" i="12"/>
  <c r="L80" i="12"/>
  <c r="K93" i="12"/>
  <c r="N93" i="12" s="1"/>
  <c r="H57" i="12"/>
  <c r="I57" i="12"/>
  <c r="E7" i="12"/>
  <c r="G7" i="12"/>
  <c r="L7" i="12"/>
  <c r="I7" i="12"/>
  <c r="E160" i="12"/>
  <c r="L160" i="12"/>
  <c r="M160" i="12"/>
  <c r="I160" i="12"/>
  <c r="G160" i="12"/>
  <c r="H118" i="12"/>
  <c r="F118" i="12"/>
  <c r="E118" i="12"/>
  <c r="L118" i="12"/>
  <c r="I118" i="12"/>
  <c r="F34" i="12"/>
  <c r="M34" i="12"/>
  <c r="E34" i="12"/>
  <c r="I34" i="12"/>
  <c r="H34" i="12"/>
  <c r="E99" i="12"/>
  <c r="H99" i="12"/>
  <c r="G99" i="12"/>
  <c r="F119" i="12"/>
  <c r="E119" i="12"/>
  <c r="L119" i="12"/>
  <c r="M119" i="12"/>
  <c r="I119" i="12"/>
  <c r="H119" i="12"/>
  <c r="F51" i="12"/>
  <c r="L51" i="12"/>
  <c r="H51" i="12"/>
  <c r="M51" i="12"/>
  <c r="G51" i="12"/>
  <c r="K50" i="12" s="1"/>
  <c r="N50" i="12" s="1"/>
  <c r="I51" i="12"/>
  <c r="M21" i="12"/>
  <c r="G21" i="12"/>
  <c r="F21" i="12"/>
  <c r="L21" i="12"/>
  <c r="H21" i="12"/>
  <c r="N47" i="12"/>
  <c r="K66" i="12"/>
  <c r="N66" i="12" s="1"/>
  <c r="K14" i="12"/>
  <c r="N14" i="12" s="1"/>
  <c r="K28" i="12"/>
  <c r="N28" i="12" s="1"/>
  <c r="G17" i="12"/>
  <c r="E17" i="12"/>
  <c r="K17" i="12" s="1"/>
  <c r="L17" i="12"/>
  <c r="H17" i="12"/>
  <c r="M17" i="12"/>
  <c r="M167" i="12" s="1"/>
  <c r="H6" i="12"/>
  <c r="H167" i="12" s="1"/>
  <c r="I6" i="12"/>
  <c r="I167" i="12" s="1"/>
  <c r="E6" i="12"/>
  <c r="L53" i="12"/>
  <c r="I53" i="12"/>
  <c r="K52" i="12" s="1"/>
  <c r="N52" i="12" s="1"/>
  <c r="N156" i="12"/>
  <c r="L41" i="12"/>
  <c r="F41" i="12"/>
  <c r="K40" i="12" s="1"/>
  <c r="N40" i="12" s="1"/>
  <c r="G144" i="12"/>
  <c r="L70" i="12"/>
  <c r="N70" i="12" s="1"/>
  <c r="M29" i="12"/>
  <c r="G139" i="12"/>
  <c r="I144" i="12"/>
  <c r="L115" i="12"/>
  <c r="M90" i="12"/>
  <c r="E90" i="12"/>
  <c r="F163" i="12"/>
  <c r="F139" i="12"/>
  <c r="K138" i="12" s="1"/>
  <c r="N138" i="12" s="1"/>
  <c r="I139" i="12"/>
  <c r="I115" i="12"/>
  <c r="H11" i="12"/>
  <c r="E163" i="12"/>
  <c r="K163" i="12" s="1"/>
  <c r="N163" i="12" s="1"/>
  <c r="G11" i="12"/>
  <c r="K11" i="12" s="1"/>
  <c r="N11" i="12" s="1"/>
  <c r="M144" i="12"/>
  <c r="G115" i="12"/>
  <c r="H103" i="12"/>
  <c r="K103" i="12" s="1"/>
  <c r="N103" i="12" s="1"/>
  <c r="I11" i="12"/>
  <c r="H123" i="12"/>
  <c r="K123" i="12" s="1"/>
  <c r="N123" i="12" s="1"/>
  <c r="I163" i="12"/>
  <c r="L146" i="12"/>
  <c r="L90" i="12"/>
  <c r="H163" i="12"/>
  <c r="E115" i="12"/>
  <c r="H90" i="12"/>
  <c r="L29" i="12"/>
  <c r="L162" i="12"/>
  <c r="N161" i="12" s="1"/>
  <c r="H29" i="12"/>
  <c r="K29" i="12" s="1"/>
  <c r="N29" i="12" s="1"/>
  <c r="M31" i="12"/>
  <c r="H18" i="12"/>
  <c r="K18" i="12" s="1"/>
  <c r="N18" i="12" s="1"/>
  <c r="K118" i="12" l="1"/>
  <c r="N118" i="12" s="1"/>
  <c r="K115" i="12"/>
  <c r="N115" i="12" s="1"/>
  <c r="K144" i="12"/>
  <c r="N144" i="12" s="1"/>
  <c r="K99" i="12"/>
  <c r="N99" i="12" s="1"/>
  <c r="N3" i="12"/>
  <c r="K26" i="12"/>
  <c r="N26" i="12" s="1"/>
  <c r="K33" i="12"/>
  <c r="N33" i="12" s="1"/>
  <c r="L167" i="12"/>
  <c r="E167" i="12"/>
  <c r="K6" i="12"/>
  <c r="N6" i="12" s="1"/>
  <c r="K90" i="12"/>
  <c r="N90" i="12" s="1"/>
  <c r="F167" i="12"/>
  <c r="G167" i="12"/>
  <c r="N17" i="12"/>
  <c r="K160" i="12"/>
  <c r="N160" i="12" s="1"/>
  <c r="K142" i="12"/>
  <c r="N142" i="12" s="1"/>
  <c r="K88" i="12"/>
  <c r="N88" i="12" s="1"/>
  <c r="K113" i="12"/>
  <c r="N113" i="12" s="1"/>
  <c r="K20" i="12"/>
  <c r="N20" i="12" s="1"/>
  <c r="N167" i="12" l="1"/>
  <c r="K167" i="12"/>
</calcChain>
</file>

<file path=xl/sharedStrings.xml><?xml version="1.0" encoding="utf-8"?>
<sst xmlns="http://schemas.openxmlformats.org/spreadsheetml/2006/main" count="575" uniqueCount="228">
  <si>
    <t>Meadows Valley</t>
  </si>
  <si>
    <t>Council</t>
  </si>
  <si>
    <t>Pocatello</t>
  </si>
  <si>
    <t>Snake River</t>
  </si>
  <si>
    <t>Blackfoot</t>
  </si>
  <si>
    <t>Aberdeen</t>
  </si>
  <si>
    <t>Firth</t>
  </si>
  <si>
    <t>Garden Valley</t>
  </si>
  <si>
    <t>Basin</t>
  </si>
  <si>
    <t>Idaho Falls</t>
  </si>
  <si>
    <t>Nampa</t>
  </si>
  <si>
    <t>Caldwell</t>
  </si>
  <si>
    <t>Wilder</t>
  </si>
  <si>
    <t>Middleton</t>
  </si>
  <si>
    <t>Notus</t>
  </si>
  <si>
    <t>Parma</t>
  </si>
  <si>
    <t>Vallivue</t>
  </si>
  <si>
    <t>North Gem</t>
  </si>
  <si>
    <t>Mountain Home</t>
  </si>
  <si>
    <t>Wendell</t>
  </si>
  <si>
    <t>West Jefferson</t>
  </si>
  <si>
    <t>Valley</t>
  </si>
  <si>
    <t>Post Falls</t>
  </si>
  <si>
    <t>Moscow</t>
  </si>
  <si>
    <t>Potlatch</t>
  </si>
  <si>
    <t>Salmon</t>
  </si>
  <si>
    <t>South Lemhi</t>
  </si>
  <si>
    <t>Dietrich</t>
  </si>
  <si>
    <t>Richfield</t>
  </si>
  <si>
    <t>Madison</t>
  </si>
  <si>
    <t>Lapwai</t>
  </si>
  <si>
    <t>New Plymouth</t>
  </si>
  <si>
    <t>Rockland</t>
  </si>
  <si>
    <t>Mullan</t>
  </si>
  <si>
    <t>Wallace</t>
  </si>
  <si>
    <t>Avery</t>
  </si>
  <si>
    <t>Twin Falls</t>
  </si>
  <si>
    <t>Filer</t>
  </si>
  <si>
    <t>Kimberly</t>
  </si>
  <si>
    <t>Hansen</t>
  </si>
  <si>
    <t>Cascade</t>
  </si>
  <si>
    <t>Weiser</t>
  </si>
  <si>
    <t>Midvale</t>
  </si>
  <si>
    <t>Lake Pend Oreille</t>
  </si>
  <si>
    <t>Fruitland</t>
  </si>
  <si>
    <t>Horseshoe Bend</t>
  </si>
  <si>
    <t>Boise Independent</t>
  </si>
  <si>
    <t>Kuna Joint</t>
  </si>
  <si>
    <t>Marsh Valley Joint</t>
  </si>
  <si>
    <t>Bear Lake County</t>
  </si>
  <si>
    <t>St. Maries Joint</t>
  </si>
  <si>
    <t>Shelley Joint</t>
  </si>
  <si>
    <t>Blaine County</t>
  </si>
  <si>
    <t>West Bonner County</t>
  </si>
  <si>
    <t>Bonneville Joint</t>
  </si>
  <si>
    <t>Boundary County</t>
  </si>
  <si>
    <t>Camas County</t>
  </si>
  <si>
    <t>Melba Joint</t>
  </si>
  <si>
    <t>Grace Joint</t>
  </si>
  <si>
    <t>Soda Springs Joint</t>
  </si>
  <si>
    <t>Cassia County Joint</t>
  </si>
  <si>
    <t>Clark County Joint</t>
  </si>
  <si>
    <t>Orofino Joint</t>
  </si>
  <si>
    <t>Challis Joint</t>
  </si>
  <si>
    <t>Mackay Joint</t>
  </si>
  <si>
    <t>Prairie Elementary</t>
  </si>
  <si>
    <t>Glenns Ferry Joint</t>
  </si>
  <si>
    <t>Preston Joint</t>
  </si>
  <si>
    <t>West Side Joint</t>
  </si>
  <si>
    <t>Fremont County Joint</t>
  </si>
  <si>
    <t>Emmett Independent</t>
  </si>
  <si>
    <t>Gooding Joint</t>
  </si>
  <si>
    <t>Hagerman Joint</t>
  </si>
  <si>
    <t>Bliss Joint</t>
  </si>
  <si>
    <t>Cottonwood Joint</t>
  </si>
  <si>
    <t>Ririe Joint</t>
  </si>
  <si>
    <t>Jerome Joint</t>
  </si>
  <si>
    <t>Coeur d' Alene</t>
  </si>
  <si>
    <t>Kootenai Joint</t>
  </si>
  <si>
    <t>Genesee Joint</t>
  </si>
  <si>
    <t>Kendrick Joint</t>
  </si>
  <si>
    <t>Troy</t>
  </si>
  <si>
    <t>Nezperce Joint</t>
  </si>
  <si>
    <t>Kamiah Joint</t>
  </si>
  <si>
    <t>Highland Joint</t>
  </si>
  <si>
    <t>Shoshone Joint</t>
  </si>
  <si>
    <t>Sugar-Salem Joint</t>
  </si>
  <si>
    <t>Lewiston Independent</t>
  </si>
  <si>
    <t>Culdesac Joint</t>
  </si>
  <si>
    <t>Oneida County</t>
  </si>
  <si>
    <t>Marsing Joint</t>
  </si>
  <si>
    <t>Homedale Joint</t>
  </si>
  <si>
    <t>Payette Joint</t>
  </si>
  <si>
    <t>American Falls Joint</t>
  </si>
  <si>
    <t>Arbon Elementary</t>
  </si>
  <si>
    <t>Teton County</t>
  </si>
  <si>
    <t>Buhl Joint</t>
  </si>
  <si>
    <t>Castleford Joint</t>
  </si>
  <si>
    <t>Murtaugh Joint</t>
  </si>
  <si>
    <t>McCall-Donnelly Joint</t>
  </si>
  <si>
    <t>Cambridge Joint</t>
  </si>
  <si>
    <t>Whitepine Joint</t>
  </si>
  <si>
    <t>Kellogg Joint</t>
  </si>
  <si>
    <t xml:space="preserve">School District
(1)
</t>
  </si>
  <si>
    <t xml:space="preserve">Market Value
(2)
</t>
  </si>
  <si>
    <t xml:space="preserve">Total </t>
  </si>
  <si>
    <t>Butte County Joint</t>
  </si>
  <si>
    <t>Lakeland Joint</t>
  </si>
  <si>
    <t>t</t>
  </si>
  <si>
    <t>Salmon River</t>
  </si>
  <si>
    <t>Mountain View</t>
  </si>
  <si>
    <t>Pleasant Valley Elem</t>
  </si>
  <si>
    <t>Bruneau-Grand View Jt</t>
  </si>
  <si>
    <t>c</t>
  </si>
  <si>
    <t>Three Creek Jt Elem</t>
  </si>
  <si>
    <t>Minidoka County Jt</t>
  </si>
  <si>
    <t>Jefferson County Jt</t>
  </si>
  <si>
    <t>Swan Valley Elem</t>
  </si>
  <si>
    <t>Plummer / Worley Jt</t>
  </si>
  <si>
    <t xml:space="preserve">M &amp; O /
Budget
Stabilization
(4)
</t>
  </si>
  <si>
    <t xml:space="preserve">Supplemental
M &amp; O
(5)
</t>
  </si>
  <si>
    <t xml:space="preserve">Emergency
(6)
</t>
  </si>
  <si>
    <t xml:space="preserve">Tort
(7)
</t>
  </si>
  <si>
    <t xml:space="preserve">COSSA (c)
Tuition (t)
Judgement (j)
(8)
</t>
  </si>
  <si>
    <t xml:space="preserve">School
District
Subtotal
(9)
</t>
  </si>
  <si>
    <t xml:space="preserve">Bond
(10)
</t>
  </si>
  <si>
    <t xml:space="preserve">Plant
Facility
(11)
</t>
  </si>
  <si>
    <t xml:space="preserve">School
District
Total
(12)
</t>
  </si>
  <si>
    <t xml:space="preserve">Market Value
including
Urban Renewal Increment Value
(3)
</t>
  </si>
  <si>
    <t xml:space="preserve">Market Value
including
Urban Renewal
Increment Value
(3)
</t>
  </si>
  <si>
    <t>West Ada Joint</t>
  </si>
  <si>
    <t>j</t>
  </si>
  <si>
    <t>Market Values by County</t>
  </si>
  <si>
    <t>blank</t>
  </si>
  <si>
    <t>COUNTY</t>
  </si>
  <si>
    <t>DIST. NO.</t>
  </si>
  <si>
    <t>LOCATION</t>
  </si>
  <si>
    <t>VALUATION</t>
  </si>
  <si>
    <t>ADA</t>
  </si>
  <si>
    <t>001</t>
  </si>
  <si>
    <t>002</t>
  </si>
  <si>
    <t>Meridian Joint</t>
  </si>
  <si>
    <t>003</t>
  </si>
  <si>
    <t>ADAMS</t>
  </si>
  <si>
    <t>011</t>
  </si>
  <si>
    <t>013</t>
  </si>
  <si>
    <t>BANNOCK</t>
  </si>
  <si>
    <t>021</t>
  </si>
  <si>
    <t>025</t>
  </si>
  <si>
    <t>BEAR LAKE</t>
  </si>
  <si>
    <t>033</t>
  </si>
  <si>
    <t>BENEWAH</t>
  </si>
  <si>
    <t>041</t>
  </si>
  <si>
    <t>044</t>
  </si>
  <si>
    <t>Plummer/Worley Joint</t>
  </si>
  <si>
    <t>BINGHAM</t>
  </si>
  <si>
    <t>052</t>
  </si>
  <si>
    <t>055</t>
  </si>
  <si>
    <t>058</t>
  </si>
  <si>
    <t>059</t>
  </si>
  <si>
    <t>060</t>
  </si>
  <si>
    <t>093</t>
  </si>
  <si>
    <t>BLAINE</t>
  </si>
  <si>
    <t>061</t>
  </si>
  <si>
    <t>BOISE</t>
  </si>
  <si>
    <t>071</t>
  </si>
  <si>
    <t>072</t>
  </si>
  <si>
    <t>073</t>
  </si>
  <si>
    <t>BONNER</t>
  </si>
  <si>
    <t>083</t>
  </si>
  <si>
    <t>084</t>
  </si>
  <si>
    <t>Lakeland</t>
  </si>
  <si>
    <t>BONNEVILLE</t>
  </si>
  <si>
    <t>091</t>
  </si>
  <si>
    <t>092</t>
  </si>
  <si>
    <t>Swan Valley Elementary</t>
  </si>
  <si>
    <t xml:space="preserve">Bonneville Joint </t>
  </si>
  <si>
    <t>BOUNDARY</t>
  </si>
  <si>
    <t>BUTTE</t>
  </si>
  <si>
    <t>CAMAS</t>
  </si>
  <si>
    <t>CANYON</t>
  </si>
  <si>
    <t>CARIBOU</t>
  </si>
  <si>
    <t>CASSIA</t>
  </si>
  <si>
    <t>Minidoka County Joint</t>
  </si>
  <si>
    <t>CLARK</t>
  </si>
  <si>
    <t>CLEARWATER</t>
  </si>
  <si>
    <t>CUSTER</t>
  </si>
  <si>
    <t>ELMORE</t>
  </si>
  <si>
    <t>Bruneau-Grand View Joint</t>
  </si>
  <si>
    <t>FRANKLIN</t>
  </si>
  <si>
    <t>FREMONT</t>
  </si>
  <si>
    <t>GEM</t>
  </si>
  <si>
    <t>GOODING</t>
  </si>
  <si>
    <t>IDAHO</t>
  </si>
  <si>
    <t>JEFFERSON</t>
  </si>
  <si>
    <t>Jefferson County Joint</t>
  </si>
  <si>
    <t>JEROME</t>
  </si>
  <si>
    <t>KOOTENAI</t>
  </si>
  <si>
    <t>Coeur d'Alene</t>
  </si>
  <si>
    <t>LATAH</t>
  </si>
  <si>
    <t>LEMHI</t>
  </si>
  <si>
    <t>LEWIS</t>
  </si>
  <si>
    <t>LINCOLN</t>
  </si>
  <si>
    <t>MADISON</t>
  </si>
  <si>
    <t>MINIDOKA</t>
  </si>
  <si>
    <t>NEZPERCE</t>
  </si>
  <si>
    <t>ONEIDA</t>
  </si>
  <si>
    <t>OWYHEE</t>
  </si>
  <si>
    <t>Pleasant Valley Elementary</t>
  </si>
  <si>
    <t>Three Creek Joint Elementary</t>
  </si>
  <si>
    <t>PAYETTE</t>
  </si>
  <si>
    <t>POWER</t>
  </si>
  <si>
    <t>SHOSHONE</t>
  </si>
  <si>
    <t>TETON</t>
  </si>
  <si>
    <t>TWIN FALLS</t>
  </si>
  <si>
    <t>VALLEY</t>
  </si>
  <si>
    <t>WASHINGTON</t>
  </si>
  <si>
    <t xml:space="preserve">Total: </t>
  </si>
  <si>
    <t>End of document.</t>
  </si>
  <si>
    <t>c&amp;j</t>
  </si>
  <si>
    <t>This report was compliled with information received from the Idaho State Tax Commission in Fall 2024.</t>
  </si>
  <si>
    <t>School District Facility Funds - Property Tax Relief  **</t>
  </si>
  <si>
    <t>The amounts shown in these columns reflect the reduction in levies for tax year 2024</t>
  </si>
  <si>
    <t xml:space="preserve">Beginning in FY 2025, the School District Facility funds were to be used to directly reduce what would have been levied for school bonds, supplemental levies and plant facility levies in that order of priority. </t>
  </si>
  <si>
    <t xml:space="preserve">**Beginning in FY 2024, School District Facility funds were distributed to School Districts (per Idaho Code 33-911) to directly reduce what would have been levied for school bonds and supplemental levies in that order of priority. </t>
  </si>
  <si>
    <t>Revenue from School District Facilities Payment Used to Reduce Amount Levied for Supplementals in Tax Year 2024                     (14)</t>
  </si>
  <si>
    <t>Revenue from School District Facilities Payment Used to Reduce Amount Levied for Plant Facilities in Tax Year 2024                        (15)</t>
  </si>
  <si>
    <t xml:space="preserve">Revenue from School District Facilities Payment Used to Reduce Amount Levied for Bonds in Tax Year 2024                         (13)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</si>
</sst>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000"/>
    <numFmt numFmtId="165" formatCode="000"/>
    <numFmt numFmtId="166" formatCode="#,##0.000000000_);\(#,##0.000000000\)"/>
    <numFmt numFmtId="167" formatCode="00000"/>
    <numFmt numFmtId="168" formatCode="\-"/>
  </numFmts>
  <fonts count="25" x14ac:knownFonts="1">
    <font>
      <sz val="10"/>
      <name val="Arial"/>
    </font>
    <font>
      <sz val="10"/>
      <name val="Arial"/>
      <family val="2"/>
    </font>
    <font>
      <sz val="10"/>
      <name val="Arial"/>
      <family val="2"/>
    </font>
    <font>
      <sz val="8"/>
      <name val="Arial"/>
      <family val="2"/>
    </font>
    <font>
      <sz val="10"/>
      <name val="Arial"/>
      <family val="2"/>
    </font>
    <font>
      <sz val="10"/>
      <color indexed="14"/>
      <name val="Arial"/>
      <family val="2"/>
    </font>
    <font>
      <sz val="10"/>
      <name val="Arial"/>
      <family val="2"/>
    </font>
    <font>
      <sz val="12"/>
      <name val="Times New Roman"/>
      <family val="1"/>
    </font>
    <font>
      <sz val="12"/>
      <name val="Times New Roman"/>
      <family val="1"/>
    </font>
    <font>
      <sz val="10"/>
      <name val="Arial"/>
      <family val="2"/>
    </font>
    <font>
      <sz val="10"/>
      <name val="Arial"/>
      <family val="2"/>
    </font>
    <font>
      <sz val="10"/>
      <name val="Arial"/>
      <family val="2"/>
    </font>
    <font>
      <sz val="11"/>
      <name val="Arial"/>
      <family val="2"/>
    </font>
    <font>
      <sz val="10"/>
      <color rgb="FFFF0000"/>
      <name val="Arial"/>
      <family val="2"/>
    </font>
    <font>
      <sz val="11"/>
      <color theme="1"/>
      <name val="Arial"/>
      <family val="2"/>
    </font>
    <font>
      <sz val="11"/>
      <color theme="0"/>
      <name val="Arial"/>
      <family val="2"/>
    </font>
    <font>
      <sz val="10"/>
      <color theme="1"/>
      <name val="Arial"/>
      <family val="2"/>
    </font>
    <font>
      <sz val="10"/>
      <color rgb="FFCC00CC"/>
      <name val="Arial"/>
      <family val="2"/>
    </font>
    <font>
      <sz val="10"/>
      <color rgb="FFFF6699"/>
      <name val="Arial"/>
      <family val="2"/>
    </font>
    <font>
      <sz val="10"/>
      <color rgb="FFFF5050"/>
      <name val="Arial"/>
      <family val="2"/>
    </font>
    <font>
      <sz val="10"/>
      <color rgb="FF9933FF"/>
      <name val="Arial"/>
      <family val="2"/>
    </font>
    <font>
      <sz val="10"/>
      <color theme="1" tint="4.9989318521683403E-2"/>
      <name val="Arial"/>
      <family val="2"/>
    </font>
    <font>
      <sz val="10"/>
      <color rgb="FF212121"/>
      <name val="Arial"/>
      <family val="2"/>
    </font>
    <font>
      <sz val="11"/>
      <color rgb="FF212121"/>
      <name val="Calibri"/>
      <family val="2"/>
      <scheme val="minor"/>
    </font>
    <font>
      <sz val="11"/>
      <color rgb="FFFFFFFF"/>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24">
    <xf numFmtId="0" fontId="0" fillId="0" borderId="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0" fontId="2" fillId="0" borderId="0"/>
    <xf numFmtId="0" fontId="2"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cellStyleXfs>
  <cellXfs count="273">
    <xf numFmtId="0" fontId="0" fillId="0" borderId="0" xfId="0"/>
    <xf numFmtId="0" fontId="2" fillId="0" borderId="1" xfId="0" applyFont="1" applyBorder="1" applyAlignment="1">
      <alignment horizontal="center" wrapText="1"/>
    </xf>
    <xf numFmtId="0" fontId="2" fillId="0" borderId="0" xfId="0" applyFont="1"/>
    <xf numFmtId="42" fontId="2" fillId="0" borderId="0" xfId="0" applyNumberFormat="1" applyFont="1"/>
    <xf numFmtId="42" fontId="2" fillId="0" borderId="2" xfId="0" applyNumberFormat="1" applyFont="1" applyBorder="1"/>
    <xf numFmtId="42" fontId="2" fillId="0" borderId="3" xfId="0" applyNumberFormat="1" applyFont="1" applyBorder="1"/>
    <xf numFmtId="42" fontId="2" fillId="0" borderId="3" xfId="0" applyNumberFormat="1" applyFont="1" applyBorder="1" applyAlignment="1">
      <alignment horizontal="center"/>
    </xf>
    <xf numFmtId="0" fontId="2" fillId="0" borderId="0" xfId="0" applyFont="1" applyAlignment="1">
      <alignment horizontal="center"/>
    </xf>
    <xf numFmtId="42" fontId="3" fillId="0" borderId="3" xfId="0" applyNumberFormat="1" applyFont="1" applyBorder="1"/>
    <xf numFmtId="0" fontId="1" fillId="0" borderId="0" xfId="0" applyFont="1"/>
    <xf numFmtId="0" fontId="1" fillId="0" borderId="1" xfId="0" applyFont="1" applyBorder="1" applyAlignment="1">
      <alignment horizontal="center" wrapText="1"/>
    </xf>
    <xf numFmtId="167" fontId="1" fillId="0" borderId="0" xfId="0" applyNumberFormat="1" applyFont="1"/>
    <xf numFmtId="0" fontId="4" fillId="0" borderId="4" xfId="0" applyFont="1" applyBorder="1"/>
    <xf numFmtId="0" fontId="4" fillId="0" borderId="0" xfId="0" applyFont="1"/>
    <xf numFmtId="164" fontId="4" fillId="0" borderId="0" xfId="0" applyNumberFormat="1" applyFont="1"/>
    <xf numFmtId="0" fontId="4" fillId="0" borderId="0" xfId="0" applyFont="1" applyAlignment="1">
      <alignment horizontal="center"/>
    </xf>
    <xf numFmtId="41" fontId="2" fillId="0" borderId="0" xfId="0" applyNumberFormat="1" applyFont="1"/>
    <xf numFmtId="166" fontId="1" fillId="0" borderId="0" xfId="0" applyNumberFormat="1" applyFont="1"/>
    <xf numFmtId="0" fontId="0" fillId="0" borderId="1" xfId="0" applyBorder="1" applyAlignment="1">
      <alignment horizontal="center" wrapText="1"/>
    </xf>
    <xf numFmtId="164" fontId="2" fillId="0" borderId="0" xfId="0" applyNumberFormat="1" applyFont="1"/>
    <xf numFmtId="164" fontId="1" fillId="0" borderId="0" xfId="0" applyNumberFormat="1" applyFont="1"/>
    <xf numFmtId="0" fontId="13" fillId="0" borderId="0" xfId="0" applyFont="1"/>
    <xf numFmtId="41" fontId="1" fillId="0" borderId="0" xfId="0" applyNumberFormat="1" applyFont="1"/>
    <xf numFmtId="0" fontId="12" fillId="0" borderId="0" xfId="0" applyFont="1"/>
    <xf numFmtId="0" fontId="14" fillId="0" borderId="5" xfId="0" applyFont="1" applyBorder="1"/>
    <xf numFmtId="0" fontId="12" fillId="0" borderId="0" xfId="17" applyFont="1"/>
    <xf numFmtId="1" fontId="12" fillId="0" borderId="0" xfId="17" quotePrefix="1" applyNumberFormat="1" applyFont="1" applyAlignment="1">
      <alignment horizontal="center"/>
    </xf>
    <xf numFmtId="3" fontId="2" fillId="0" borderId="0" xfId="17" applyNumberFormat="1"/>
    <xf numFmtId="0" fontId="15" fillId="0" borderId="0" xfId="17" applyFont="1"/>
    <xf numFmtId="0" fontId="12" fillId="0" borderId="0" xfId="17" quotePrefix="1" applyFont="1" applyAlignment="1">
      <alignment horizontal="center"/>
    </xf>
    <xf numFmtId="0" fontId="12" fillId="0" borderId="0" xfId="17" applyFont="1" applyAlignment="1">
      <alignment horizontal="center"/>
    </xf>
    <xf numFmtId="1" fontId="12" fillId="0" borderId="0" xfId="17" applyNumberFormat="1" applyFont="1" applyAlignment="1">
      <alignment horizontal="center"/>
    </xf>
    <xf numFmtId="0" fontId="14" fillId="0" borderId="0" xfId="0" applyFont="1"/>
    <xf numFmtId="44" fontId="0" fillId="0" borderId="6" xfId="14" applyFont="1" applyBorder="1"/>
    <xf numFmtId="44" fontId="0" fillId="0" borderId="0" xfId="14" applyFont="1" applyBorder="1"/>
    <xf numFmtId="0" fontId="2" fillId="0" borderId="0" xfId="17"/>
    <xf numFmtId="0" fontId="16" fillId="0" borderId="0" xfId="0" applyFont="1"/>
    <xf numFmtId="42" fontId="1" fillId="0" borderId="0" xfId="0" applyNumberFormat="1" applyFont="1"/>
    <xf numFmtId="3" fontId="2" fillId="0" borderId="0" xfId="17" quotePrefix="1" applyNumberFormat="1"/>
    <xf numFmtId="0" fontId="1" fillId="0" borderId="7" xfId="0" applyFont="1" applyBorder="1"/>
    <xf numFmtId="165" fontId="1" fillId="0" borderId="3" xfId="0" applyNumberFormat="1" applyFont="1" applyBorder="1"/>
    <xf numFmtId="165" fontId="12" fillId="0" borderId="0" xfId="17" quotePrefix="1" applyNumberFormat="1" applyFont="1" applyAlignment="1">
      <alignment horizontal="center"/>
    </xf>
    <xf numFmtId="0" fontId="2" fillId="3" borderId="0" xfId="0" applyFont="1" applyFill="1"/>
    <xf numFmtId="0" fontId="4" fillId="3" borderId="0" xfId="0" applyFont="1" applyFill="1"/>
    <xf numFmtId="44" fontId="1" fillId="0" borderId="0" xfId="0" applyNumberFormat="1" applyFont="1"/>
    <xf numFmtId="0" fontId="2" fillId="0" borderId="8" xfId="0" applyFont="1" applyBorder="1"/>
    <xf numFmtId="42" fontId="2" fillId="0" borderId="0" xfId="0" applyNumberFormat="1" applyFont="1" applyAlignment="1">
      <alignment horizontal="center"/>
    </xf>
    <xf numFmtId="41" fontId="17" fillId="0" borderId="0" xfId="0" applyNumberFormat="1" applyFont="1"/>
    <xf numFmtId="41" fontId="2" fillId="0" borderId="2" xfId="0" applyNumberFormat="1" applyFont="1" applyBorder="1"/>
    <xf numFmtId="42" fontId="2" fillId="0" borderId="2" xfId="0" applyNumberFormat="1" applyFont="1" applyBorder="1" applyAlignment="1">
      <alignment horizontal="center"/>
    </xf>
    <xf numFmtId="41" fontId="2" fillId="0" borderId="9" xfId="0" applyNumberFormat="1" applyFont="1" applyBorder="1"/>
    <xf numFmtId="42" fontId="2" fillId="0" borderId="9" xfId="0" applyNumberFormat="1" applyFont="1" applyBorder="1" applyAlignment="1">
      <alignment horizontal="center"/>
    </xf>
    <xf numFmtId="41" fontId="17" fillId="0" borderId="9" xfId="0" applyNumberFormat="1" applyFont="1" applyBorder="1"/>
    <xf numFmtId="41" fontId="2" fillId="4" borderId="0" xfId="0" applyNumberFormat="1" applyFont="1" applyFill="1"/>
    <xf numFmtId="41" fontId="2" fillId="4" borderId="9" xfId="0" applyNumberFormat="1" applyFont="1" applyFill="1" applyBorder="1"/>
    <xf numFmtId="41" fontId="18" fillId="0" borderId="9" xfId="0" applyNumberFormat="1" applyFont="1" applyBorder="1"/>
    <xf numFmtId="41" fontId="19" fillId="0" borderId="9" xfId="0" applyNumberFormat="1" applyFont="1" applyBorder="1"/>
    <xf numFmtId="41" fontId="2" fillId="4" borderId="2" xfId="0" applyNumberFormat="1" applyFont="1" applyFill="1" applyBorder="1"/>
    <xf numFmtId="0" fontId="2" fillId="0" borderId="2" xfId="0" applyFont="1" applyBorder="1"/>
    <xf numFmtId="165" fontId="2" fillId="0" borderId="2" xfId="0" applyNumberFormat="1" applyFont="1" applyBorder="1" applyAlignment="1">
      <alignment horizontal="center"/>
    </xf>
    <xf numFmtId="165" fontId="2" fillId="0" borderId="2" xfId="0" quotePrefix="1" applyNumberFormat="1" applyFont="1" applyBorder="1"/>
    <xf numFmtId="165" fontId="2" fillId="0" borderId="3" xfId="0" applyNumberFormat="1" applyFont="1" applyBorder="1" applyAlignment="1">
      <alignment horizontal="center"/>
    </xf>
    <xf numFmtId="165" fontId="2" fillId="0" borderId="3" xfId="0" quotePrefix="1" applyNumberFormat="1" applyFont="1" applyBorder="1"/>
    <xf numFmtId="41" fontId="2" fillId="0" borderId="3" xfId="0" applyNumberFormat="1" applyFont="1" applyBorder="1"/>
    <xf numFmtId="41" fontId="2" fillId="4" borderId="3" xfId="0" applyNumberFormat="1" applyFont="1" applyFill="1" applyBorder="1"/>
    <xf numFmtId="0" fontId="2" fillId="0" borderId="3" xfId="0" applyFont="1" applyBorder="1"/>
    <xf numFmtId="41" fontId="2" fillId="0" borderId="3" xfId="0" applyNumberFormat="1" applyFont="1" applyBorder="1" applyAlignment="1">
      <alignment horizontal="center" vertical="center"/>
    </xf>
    <xf numFmtId="0" fontId="2" fillId="0" borderId="1" xfId="16" applyBorder="1" applyAlignment="1">
      <alignment horizontal="center" vertical="center" wrapText="1"/>
    </xf>
    <xf numFmtId="165" fontId="1" fillId="0" borderId="10" xfId="0" applyNumberFormat="1" applyFont="1" applyBorder="1" applyAlignment="1">
      <alignment horizontal="center"/>
    </xf>
    <xf numFmtId="165" fontId="1" fillId="0" borderId="11" xfId="0" applyNumberFormat="1" applyFont="1" applyBorder="1"/>
    <xf numFmtId="164" fontId="2" fillId="0" borderId="12" xfId="0" applyNumberFormat="1" applyFont="1" applyBorder="1"/>
    <xf numFmtId="164" fontId="2" fillId="0" borderId="12" xfId="0" applyNumberFormat="1" applyFont="1" applyBorder="1" applyAlignment="1">
      <alignment horizontal="center"/>
    </xf>
    <xf numFmtId="164" fontId="2" fillId="0" borderId="13" xfId="0" applyNumberFormat="1" applyFont="1" applyBorder="1"/>
    <xf numFmtId="164" fontId="2" fillId="0" borderId="13" xfId="0" applyNumberFormat="1" applyFont="1" applyBorder="1" applyAlignment="1">
      <alignment horizontal="center"/>
    </xf>
    <xf numFmtId="164" fontId="2" fillId="4" borderId="14" xfId="0" applyNumberFormat="1" applyFont="1" applyFill="1" applyBorder="1"/>
    <xf numFmtId="164" fontId="2" fillId="0" borderId="14" xfId="0" applyNumberFormat="1" applyFont="1" applyBorder="1"/>
    <xf numFmtId="164" fontId="2" fillId="0" borderId="14" xfId="0" applyNumberFormat="1" applyFont="1" applyBorder="1" applyAlignment="1">
      <alignment horizontal="center"/>
    </xf>
    <xf numFmtId="0" fontId="2" fillId="0" borderId="14" xfId="0" applyFont="1" applyBorder="1"/>
    <xf numFmtId="164" fontId="2" fillId="4" borderId="11" xfId="0" applyNumberFormat="1" applyFont="1" applyFill="1" applyBorder="1"/>
    <xf numFmtId="164" fontId="2" fillId="0" borderId="11" xfId="0" applyNumberFormat="1" applyFont="1" applyBorder="1"/>
    <xf numFmtId="164" fontId="2" fillId="0" borderId="11" xfId="0" applyNumberFormat="1" applyFont="1" applyBorder="1" applyAlignment="1">
      <alignment horizontal="center"/>
    </xf>
    <xf numFmtId="0" fontId="2" fillId="0" borderId="3" xfId="0" applyFont="1" applyBorder="1" applyAlignment="1">
      <alignment horizontal="center"/>
    </xf>
    <xf numFmtId="42" fontId="2" fillId="0" borderId="9" xfId="0" applyNumberFormat="1" applyFont="1" applyBorder="1"/>
    <xf numFmtId="164" fontId="2" fillId="0" borderId="15" xfId="0" applyNumberFormat="1" applyFont="1" applyBorder="1"/>
    <xf numFmtId="164" fontId="2" fillId="0" borderId="9" xfId="0" applyNumberFormat="1" applyFont="1" applyBorder="1"/>
    <xf numFmtId="164" fontId="2" fillId="0" borderId="15" xfId="0" applyNumberFormat="1" applyFont="1" applyBorder="1" applyAlignment="1">
      <alignment horizontal="center"/>
    </xf>
    <xf numFmtId="164" fontId="2" fillId="4" borderId="12" xfId="0" applyNumberFormat="1" applyFont="1" applyFill="1" applyBorder="1"/>
    <xf numFmtId="165" fontId="1" fillId="0" borderId="16" xfId="0" applyNumberFormat="1" applyFont="1" applyBorder="1" applyAlignment="1">
      <alignment horizontal="center"/>
    </xf>
    <xf numFmtId="165" fontId="1" fillId="0" borderId="17" xfId="0" quotePrefix="1" applyNumberFormat="1" applyFont="1" applyBorder="1"/>
    <xf numFmtId="164" fontId="2" fillId="4" borderId="17" xfId="0" applyNumberFormat="1" applyFont="1" applyFill="1" applyBorder="1"/>
    <xf numFmtId="164" fontId="2" fillId="0" borderId="17" xfId="0" applyNumberFormat="1" applyFont="1" applyBorder="1"/>
    <xf numFmtId="164" fontId="2" fillId="0" borderId="17" xfId="0" applyNumberFormat="1" applyFont="1" applyBorder="1" applyAlignment="1">
      <alignment horizontal="center"/>
    </xf>
    <xf numFmtId="164" fontId="1" fillId="0" borderId="18" xfId="0" applyNumberFormat="1" applyFont="1" applyBorder="1"/>
    <xf numFmtId="165" fontId="1" fillId="0" borderId="17" xfId="0" applyNumberFormat="1" applyFont="1" applyBorder="1"/>
    <xf numFmtId="0" fontId="2" fillId="0" borderId="17" xfId="0" applyFont="1" applyBorder="1"/>
    <xf numFmtId="165" fontId="2" fillId="0" borderId="16" xfId="0" applyNumberFormat="1" applyFont="1" applyBorder="1" applyAlignment="1">
      <alignment horizontal="center"/>
    </xf>
    <xf numFmtId="165" fontId="2" fillId="0" borderId="17" xfId="0" quotePrefix="1" applyNumberFormat="1" applyFont="1" applyBorder="1"/>
    <xf numFmtId="164" fontId="2" fillId="4" borderId="19" xfId="0" applyNumberFormat="1" applyFont="1" applyFill="1" applyBorder="1"/>
    <xf numFmtId="164" fontId="2" fillId="0" borderId="19" xfId="0" applyNumberFormat="1" applyFont="1" applyBorder="1"/>
    <xf numFmtId="164" fontId="2" fillId="0" borderId="19" xfId="0" applyNumberFormat="1" applyFont="1" applyBorder="1" applyAlignment="1">
      <alignment horizontal="center"/>
    </xf>
    <xf numFmtId="164" fontId="2" fillId="4" borderId="15" xfId="0" applyNumberFormat="1" applyFont="1" applyFill="1" applyBorder="1"/>
    <xf numFmtId="164" fontId="2" fillId="0" borderId="2" xfId="0" applyNumberFormat="1" applyFont="1" applyBorder="1"/>
    <xf numFmtId="164" fontId="2" fillId="4" borderId="20" xfId="0" applyNumberFormat="1" applyFont="1" applyFill="1" applyBorder="1"/>
    <xf numFmtId="164" fontId="2" fillId="0" borderId="20" xfId="0" applyNumberFormat="1" applyFont="1" applyBorder="1"/>
    <xf numFmtId="164" fontId="2" fillId="0" borderId="20" xfId="0" applyNumberFormat="1" applyFont="1" applyBorder="1" applyAlignment="1">
      <alignment horizontal="center"/>
    </xf>
    <xf numFmtId="0" fontId="2" fillId="4" borderId="9" xfId="0" applyFont="1" applyFill="1" applyBorder="1"/>
    <xf numFmtId="165" fontId="1" fillId="0" borderId="21" xfId="0" applyNumberFormat="1" applyFont="1" applyBorder="1" applyAlignment="1">
      <alignment horizontal="center"/>
    </xf>
    <xf numFmtId="165" fontId="1" fillId="0" borderId="12" xfId="0" applyNumberFormat="1" applyFont="1" applyBorder="1"/>
    <xf numFmtId="164" fontId="1" fillId="0" borderId="22" xfId="0" applyNumberFormat="1" applyFont="1" applyBorder="1"/>
    <xf numFmtId="164" fontId="1" fillId="0" borderId="23" xfId="0" applyNumberFormat="1" applyFont="1" applyBorder="1"/>
    <xf numFmtId="0" fontId="2" fillId="0" borderId="9" xfId="0" applyFont="1" applyBorder="1"/>
    <xf numFmtId="165" fontId="1" fillId="0" borderId="16" xfId="0" applyNumberFormat="1" applyFont="1" applyBorder="1" applyAlignment="1">
      <alignment horizontal="center" vertical="center"/>
    </xf>
    <xf numFmtId="165" fontId="1" fillId="0" borderId="17" xfId="0" applyNumberFormat="1" applyFont="1" applyBorder="1" applyAlignment="1">
      <alignment vertical="center"/>
    </xf>
    <xf numFmtId="164" fontId="2" fillId="0" borderId="17" xfId="0" applyNumberFormat="1" applyFont="1" applyBorder="1" applyAlignment="1">
      <alignment vertical="center"/>
    </xf>
    <xf numFmtId="164" fontId="1" fillId="0" borderId="18" xfId="0" applyNumberFormat="1" applyFont="1" applyBorder="1" applyAlignment="1">
      <alignment vertical="center"/>
    </xf>
    <xf numFmtId="0" fontId="2" fillId="0" borderId="11" xfId="0" applyFont="1" applyBorder="1"/>
    <xf numFmtId="41" fontId="2" fillId="0" borderId="4" xfId="0" applyNumberFormat="1" applyFont="1" applyBorder="1"/>
    <xf numFmtId="41" fontId="2" fillId="0" borderId="24" xfId="0" applyNumberFormat="1" applyFont="1" applyBorder="1"/>
    <xf numFmtId="41" fontId="2" fillId="0" borderId="7" xfId="0" applyNumberFormat="1" applyFont="1" applyBorder="1"/>
    <xf numFmtId="41" fontId="2" fillId="0" borderId="25" xfId="0" applyNumberFormat="1" applyFont="1" applyBorder="1"/>
    <xf numFmtId="41" fontId="20" fillId="0" borderId="9" xfId="0" applyNumberFormat="1" applyFont="1" applyBorder="1"/>
    <xf numFmtId="41" fontId="2" fillId="0" borderId="26" xfId="0" applyNumberFormat="1" applyFont="1" applyBorder="1"/>
    <xf numFmtId="165" fontId="2" fillId="0" borderId="3" xfId="0" applyNumberFormat="1" applyFont="1" applyBorder="1" applyAlignment="1">
      <alignment horizontal="center" vertical="center"/>
    </xf>
    <xf numFmtId="165" fontId="2" fillId="0" borderId="3" xfId="0" quotePrefix="1" applyNumberFormat="1" applyFont="1" applyBorder="1" applyAlignment="1">
      <alignment vertical="center"/>
    </xf>
    <xf numFmtId="41" fontId="2" fillId="0" borderId="4" xfId="0" applyNumberFormat="1" applyFont="1" applyBorder="1" applyAlignment="1">
      <alignment horizontal="center" vertical="center"/>
    </xf>
    <xf numFmtId="41" fontId="17" fillId="0" borderId="2" xfId="0" applyNumberFormat="1" applyFont="1" applyBorder="1"/>
    <xf numFmtId="41" fontId="2" fillId="0" borderId="7" xfId="0" applyNumberFormat="1" applyFont="1" applyBorder="1" applyAlignment="1">
      <alignment horizontal="center" vertical="center"/>
    </xf>
    <xf numFmtId="3" fontId="5" fillId="0" borderId="8" xfId="0" applyNumberFormat="1" applyFont="1" applyBorder="1"/>
    <xf numFmtId="0" fontId="2" fillId="0" borderId="27" xfId="0" applyFont="1" applyBorder="1"/>
    <xf numFmtId="165" fontId="2" fillId="0" borderId="28" xfId="0" applyNumberFormat="1" applyFont="1" applyBorder="1"/>
    <xf numFmtId="42" fontId="2" fillId="0" borderId="28" xfId="0" applyNumberFormat="1" applyFont="1" applyBorder="1"/>
    <xf numFmtId="42" fontId="2" fillId="0" borderId="28" xfId="0" applyNumberFormat="1" applyFont="1" applyBorder="1" applyAlignment="1">
      <alignment horizontal="center"/>
    </xf>
    <xf numFmtId="42" fontId="2" fillId="0" borderId="29" xfId="0" applyNumberFormat="1" applyFont="1" applyBorder="1"/>
    <xf numFmtId="42" fontId="2" fillId="0" borderId="30" xfId="0" applyNumberFormat="1" applyFont="1" applyBorder="1"/>
    <xf numFmtId="41" fontId="21" fillId="0" borderId="2" xfId="0" applyNumberFormat="1" applyFont="1" applyBorder="1"/>
    <xf numFmtId="41" fontId="21" fillId="0" borderId="9" xfId="0" applyNumberFormat="1" applyFont="1" applyBorder="1"/>
    <xf numFmtId="41" fontId="22" fillId="0" borderId="0" xfId="0" applyNumberFormat="1" applyFont="1"/>
    <xf numFmtId="41" fontId="22" fillId="0" borderId="9" xfId="0" applyNumberFormat="1" applyFont="1" applyBorder="1"/>
    <xf numFmtId="41" fontId="22" fillId="0" borderId="2" xfId="0" applyNumberFormat="1" applyFont="1" applyBorder="1"/>
    <xf numFmtId="0" fontId="23" fillId="2" borderId="0" xfId="0" applyFont="1" applyFill="1"/>
    <xf numFmtId="0" fontId="22" fillId="0" borderId="0" xfId="0" applyFont="1"/>
    <xf numFmtId="0" fontId="24" fillId="0" borderId="0" xfId="17" applyFont="1"/>
    <xf numFmtId="165" fontId="1" fillId="0" borderId="31" xfId="0" applyNumberFormat="1" applyFont="1" applyBorder="1" applyAlignment="1">
      <alignment horizontal="center" vertical="center"/>
    </xf>
    <xf numFmtId="165" fontId="1" fillId="0" borderId="35" xfId="0" applyNumberFormat="1" applyFont="1" applyBorder="1" applyAlignment="1">
      <alignment horizontal="center" vertical="center"/>
    </xf>
    <xf numFmtId="0" fontId="0" fillId="0" borderId="32" xfId="0" applyBorder="1" applyAlignment="1">
      <alignment horizontal="center" vertical="center"/>
    </xf>
    <xf numFmtId="164" fontId="2" fillId="0" borderId="19" xfId="0" applyNumberFormat="1" applyFont="1" applyBorder="1" applyAlignment="1">
      <alignment vertical="center"/>
    </xf>
    <xf numFmtId="164" fontId="2" fillId="0" borderId="15" xfId="0" applyNumberFormat="1" applyFont="1" applyBorder="1" applyAlignment="1">
      <alignment vertical="center"/>
    </xf>
    <xf numFmtId="165" fontId="1" fillId="0" borderId="19" xfId="0" applyNumberFormat="1" applyFont="1" applyBorder="1" applyAlignment="1">
      <alignment vertical="center"/>
    </xf>
    <xf numFmtId="165" fontId="1" fillId="0" borderId="15" xfId="0" applyNumberFormat="1" applyFont="1" applyBorder="1" applyAlignment="1">
      <alignment vertical="center"/>
    </xf>
    <xf numFmtId="164" fontId="1" fillId="0" borderId="33" xfId="0" applyNumberFormat="1" applyFont="1" applyBorder="1" applyAlignment="1">
      <alignment vertical="center"/>
    </xf>
    <xf numFmtId="164" fontId="1" fillId="0" borderId="34" xfId="0" applyNumberFormat="1" applyFont="1" applyBorder="1" applyAlignment="1">
      <alignment vertical="center"/>
    </xf>
    <xf numFmtId="165" fontId="1" fillId="0" borderId="32" xfId="0" applyNumberFormat="1" applyFont="1" applyBorder="1" applyAlignment="1">
      <alignment horizontal="center" vertical="center"/>
    </xf>
    <xf numFmtId="0" fontId="0" fillId="0" borderId="15" xfId="0" applyBorder="1" applyAlignment="1">
      <alignment vertical="center"/>
    </xf>
    <xf numFmtId="165" fontId="1" fillId="0" borderId="20" xfId="0" applyNumberFormat="1" applyFont="1" applyBorder="1" applyAlignment="1">
      <alignment vertical="center"/>
    </xf>
    <xf numFmtId="164" fontId="2" fillId="0" borderId="20" xfId="0" applyNumberFormat="1" applyFont="1" applyBorder="1" applyAlignment="1">
      <alignment vertical="center"/>
    </xf>
    <xf numFmtId="0" fontId="2" fillId="0" borderId="15" xfId="0" applyFont="1" applyBorder="1" applyAlignment="1">
      <alignment vertical="center"/>
    </xf>
    <xf numFmtId="164" fontId="1" fillId="0" borderId="36" xfId="0" applyNumberFormat="1" applyFont="1" applyBorder="1" applyAlignment="1">
      <alignment vertical="center"/>
    </xf>
    <xf numFmtId="0" fontId="0" fillId="0" borderId="34" xfId="0" applyBorder="1" applyAlignment="1">
      <alignment vertical="center"/>
    </xf>
    <xf numFmtId="165" fontId="1" fillId="0" borderId="31" xfId="0" applyNumberFormat="1" applyFont="1" applyBorder="1" applyAlignment="1">
      <alignment horizontal="left" vertical="center"/>
    </xf>
    <xf numFmtId="165" fontId="1" fillId="0" borderId="32" xfId="0" applyNumberFormat="1" applyFont="1" applyBorder="1" applyAlignment="1">
      <alignment horizontal="left" vertical="center"/>
    </xf>
    <xf numFmtId="165" fontId="1" fillId="0" borderId="19" xfId="0" quotePrefix="1" applyNumberFormat="1" applyFont="1" applyBorder="1" applyAlignment="1">
      <alignment horizontal="left" vertical="center"/>
    </xf>
    <xf numFmtId="165" fontId="1" fillId="0" borderId="15" xfId="0" quotePrefix="1" applyNumberFormat="1" applyFont="1" applyBorder="1" applyAlignment="1">
      <alignment horizontal="left" vertical="center"/>
    </xf>
    <xf numFmtId="165" fontId="1" fillId="0" borderId="19" xfId="0" applyNumberFormat="1" applyFont="1" applyBorder="1" applyAlignment="1">
      <alignment horizontal="left" vertical="center"/>
    </xf>
    <xf numFmtId="165" fontId="1" fillId="0" borderId="20" xfId="0" applyNumberFormat="1" applyFont="1" applyBorder="1" applyAlignment="1">
      <alignment horizontal="left" vertical="center"/>
    </xf>
    <xf numFmtId="0" fontId="0" fillId="0" borderId="15" xfId="0" applyBorder="1" applyAlignment="1">
      <alignment horizontal="left"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left" vertical="center"/>
    </xf>
    <xf numFmtId="164"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164" fontId="2" fillId="0" borderId="15" xfId="0" applyNumberFormat="1" applyFont="1" applyBorder="1" applyAlignment="1">
      <alignment horizontal="center" vertical="center"/>
    </xf>
    <xf numFmtId="165" fontId="1" fillId="0" borderId="19" xfId="0" quotePrefix="1" applyNumberFormat="1" applyFont="1" applyBorder="1" applyAlignment="1">
      <alignment vertical="center"/>
    </xf>
    <xf numFmtId="165" fontId="1" fillId="0" borderId="20" xfId="0" quotePrefix="1" applyNumberFormat="1" applyFont="1" applyBorder="1" applyAlignment="1">
      <alignment vertical="center"/>
    </xf>
    <xf numFmtId="164" fontId="1" fillId="0" borderId="36" xfId="0" applyNumberFormat="1" applyFont="1" applyBorder="1" applyAlignment="1">
      <alignment horizontal="center" vertical="center"/>
    </xf>
    <xf numFmtId="164" fontId="2" fillId="0" borderId="19" xfId="0" applyNumberFormat="1" applyFont="1" applyBorder="1" applyAlignment="1">
      <alignment horizontal="right" vertical="center"/>
    </xf>
    <xf numFmtId="0" fontId="2" fillId="0" borderId="15" xfId="0" applyFont="1" applyBorder="1" applyAlignment="1">
      <alignment horizontal="right" vertical="center"/>
    </xf>
    <xf numFmtId="164" fontId="1" fillId="0" borderId="33" xfId="0" applyNumberFormat="1" applyFont="1" applyBorder="1" applyAlignment="1">
      <alignment horizontal="right" vertical="center"/>
    </xf>
    <xf numFmtId="0" fontId="0" fillId="0" borderId="34" xfId="0" applyBorder="1" applyAlignment="1">
      <alignment horizontal="right" vertical="center"/>
    </xf>
    <xf numFmtId="164" fontId="2" fillId="0" borderId="15" xfId="0" applyNumberFormat="1" applyFont="1" applyBorder="1" applyAlignment="1">
      <alignment horizontal="right" vertical="center"/>
    </xf>
    <xf numFmtId="164" fontId="1" fillId="0" borderId="34" xfId="0" applyNumberFormat="1" applyFont="1" applyBorder="1" applyAlignment="1">
      <alignment horizontal="right" vertical="center"/>
    </xf>
    <xf numFmtId="164" fontId="2" fillId="0" borderId="20" xfId="0" applyNumberFormat="1" applyFont="1" applyBorder="1" applyAlignment="1">
      <alignment horizontal="center" vertical="center"/>
    </xf>
    <xf numFmtId="165" fontId="2" fillId="0" borderId="19" xfId="0" quotePrefix="1" applyNumberFormat="1" applyFont="1" applyBorder="1" applyAlignment="1">
      <alignment vertical="center"/>
    </xf>
    <xf numFmtId="165" fontId="0" fillId="0" borderId="19" xfId="0" applyNumberFormat="1" applyBorder="1" applyAlignment="1">
      <alignment vertical="center"/>
    </xf>
    <xf numFmtId="165" fontId="1" fillId="0" borderId="15" xfId="0" quotePrefix="1" applyNumberFormat="1" applyFont="1" applyBorder="1" applyAlignment="1">
      <alignment vertical="center"/>
    </xf>
    <xf numFmtId="0" fontId="2" fillId="0" borderId="1" xfId="0" applyFont="1" applyBorder="1" applyAlignment="1">
      <alignment horizontal="center" wrapText="1"/>
    </xf>
    <xf numFmtId="0" fontId="1" fillId="0" borderId="1" xfId="0" applyFont="1" applyBorder="1" applyAlignment="1">
      <alignment horizontal="center"/>
    </xf>
    <xf numFmtId="0" fontId="0" fillId="0" borderId="7" xfId="0" applyBorder="1" applyAlignment="1">
      <alignment horizontal="center" wrapText="1"/>
    </xf>
    <xf numFmtId="0" fontId="1" fillId="0" borderId="4" xfId="0" applyFont="1" applyBorder="1" applyAlignment="1">
      <alignment horizontal="center" wrapText="1"/>
    </xf>
    <xf numFmtId="164" fontId="0" fillId="0" borderId="34" xfId="0" applyNumberFormat="1" applyBorder="1" applyAlignment="1">
      <alignment vertical="center"/>
    </xf>
    <xf numFmtId="165" fontId="2" fillId="0" borderId="2" xfId="0" applyNumberFormat="1" applyFont="1" applyBorder="1" applyAlignment="1">
      <alignment horizontal="center" vertical="center"/>
    </xf>
    <xf numFmtId="165" fontId="2" fillId="0" borderId="9" xfId="0" applyNumberFormat="1" applyFont="1" applyBorder="1" applyAlignment="1">
      <alignment horizontal="center" vertical="center"/>
    </xf>
    <xf numFmtId="165" fontId="2" fillId="0" borderId="2" xfId="0" quotePrefix="1" applyNumberFormat="1" applyFont="1" applyBorder="1" applyAlignment="1">
      <alignment vertical="center"/>
    </xf>
    <xf numFmtId="165" fontId="2" fillId="0" borderId="9" xfId="0" quotePrefix="1" applyNumberFormat="1" applyFont="1" applyBorder="1" applyAlignment="1">
      <alignment vertical="center"/>
    </xf>
    <xf numFmtId="41" fontId="2" fillId="0" borderId="26" xfId="0" applyNumberFormat="1" applyFont="1" applyBorder="1" applyAlignment="1">
      <alignment horizontal="center" vertical="center"/>
    </xf>
    <xf numFmtId="41" fontId="2" fillId="0" borderId="37" xfId="0" applyNumberFormat="1" applyFont="1" applyBorder="1" applyAlignment="1">
      <alignment horizontal="center" vertical="center"/>
    </xf>
    <xf numFmtId="0" fontId="0" fillId="0" borderId="24" xfId="0" applyBorder="1" applyAlignment="1">
      <alignment horizontal="center" vertical="center"/>
    </xf>
    <xf numFmtId="41" fontId="2" fillId="0" borderId="2" xfId="0" applyNumberFormat="1" applyFont="1" applyBorder="1" applyAlignment="1">
      <alignment horizontal="center" vertical="center"/>
    </xf>
    <xf numFmtId="41" fontId="2" fillId="0" borderId="0" xfId="0" applyNumberFormat="1" applyFont="1" applyAlignment="1">
      <alignment horizontal="center" vertical="center"/>
    </xf>
    <xf numFmtId="0" fontId="0" fillId="0" borderId="9" xfId="0" applyBorder="1" applyAlignment="1">
      <alignment horizontal="center" vertical="center"/>
    </xf>
    <xf numFmtId="165" fontId="2" fillId="0" borderId="2" xfId="0" applyNumberFormat="1" applyFont="1" applyBorder="1" applyAlignment="1">
      <alignment horizontal="left" vertical="center"/>
    </xf>
    <xf numFmtId="165" fontId="2" fillId="0" borderId="9" xfId="0" applyNumberFormat="1" applyFont="1" applyBorder="1" applyAlignment="1">
      <alignment horizontal="left" vertical="center"/>
    </xf>
    <xf numFmtId="165" fontId="2" fillId="0" borderId="2" xfId="0" quotePrefix="1" applyNumberFormat="1" applyFont="1" applyBorder="1" applyAlignment="1">
      <alignment horizontal="left" vertical="center"/>
    </xf>
    <xf numFmtId="165" fontId="2" fillId="0" borderId="9" xfId="0" quotePrefix="1" applyNumberFormat="1" applyFont="1" applyBorder="1" applyAlignment="1">
      <alignment horizontal="left" vertical="center"/>
    </xf>
    <xf numFmtId="165" fontId="2" fillId="0" borderId="0" xfId="0" applyNumberFormat="1" applyFont="1" applyAlignment="1">
      <alignment horizontal="left" vertical="center"/>
    </xf>
    <xf numFmtId="0" fontId="0" fillId="0" borderId="9" xfId="0" applyBorder="1" applyAlignment="1">
      <alignment horizontal="left" vertical="center"/>
    </xf>
    <xf numFmtId="165" fontId="2" fillId="0" borderId="0" xfId="0" quotePrefix="1" applyNumberFormat="1" applyFont="1" applyAlignment="1">
      <alignment horizontal="left" vertical="center"/>
    </xf>
    <xf numFmtId="41" fontId="2" fillId="0" borderId="9" xfId="0" applyNumberFormat="1" applyFont="1" applyBorder="1" applyAlignment="1">
      <alignment horizontal="center" vertical="center"/>
    </xf>
    <xf numFmtId="41" fontId="2" fillId="0" borderId="24" xfId="0" applyNumberFormat="1" applyFont="1" applyBorder="1" applyAlignment="1">
      <alignment horizontal="center" vertical="center"/>
    </xf>
    <xf numFmtId="165" fontId="2" fillId="0" borderId="0" xfId="0" quotePrefix="1" applyNumberFormat="1" applyFont="1" applyAlignment="1">
      <alignment vertical="center"/>
    </xf>
    <xf numFmtId="0" fontId="0" fillId="0" borderId="9" xfId="0" applyBorder="1" applyAlignment="1">
      <alignment vertical="center"/>
    </xf>
    <xf numFmtId="165" fontId="2" fillId="0" borderId="0" xfId="0" applyNumberFormat="1" applyFont="1" applyAlignment="1">
      <alignment horizontal="center" vertical="center"/>
    </xf>
    <xf numFmtId="0" fontId="2" fillId="0" borderId="9" xfId="0" applyFont="1" applyBorder="1" applyAlignment="1">
      <alignment horizontal="center" vertical="center"/>
    </xf>
    <xf numFmtId="41" fontId="2" fillId="0" borderId="2" xfId="0" applyNumberFormat="1" applyFont="1" applyBorder="1" applyAlignment="1">
      <alignment vertical="center"/>
    </xf>
    <xf numFmtId="0" fontId="2" fillId="0" borderId="9" xfId="0" applyFont="1" applyBorder="1" applyAlignment="1">
      <alignment vertical="center"/>
    </xf>
    <xf numFmtId="41" fontId="2" fillId="0" borderId="26" xfId="0" applyNumberFormat="1" applyFont="1" applyBorder="1" applyAlignment="1">
      <alignment vertical="center"/>
    </xf>
    <xf numFmtId="0" fontId="0" fillId="0" borderId="24" xfId="0" applyBorder="1" applyAlignment="1">
      <alignment vertical="center"/>
    </xf>
    <xf numFmtId="165" fontId="2" fillId="0" borderId="2" xfId="0" applyNumberFormat="1" applyFont="1" applyBorder="1" applyAlignment="1">
      <alignment vertical="center"/>
    </xf>
    <xf numFmtId="165" fontId="2" fillId="0" borderId="9" xfId="0" applyNumberFormat="1" applyFont="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37" xfId="0" applyBorder="1" applyAlignment="1">
      <alignment vertical="center"/>
    </xf>
    <xf numFmtId="0" fontId="2" fillId="0" borderId="1" xfId="0" applyFont="1" applyBorder="1" applyAlignment="1">
      <alignment horizontal="center"/>
    </xf>
    <xf numFmtId="0" fontId="2" fillId="0" borderId="7" xfId="0" applyFont="1" applyBorder="1" applyAlignment="1">
      <alignment horizontal="center" wrapText="1"/>
    </xf>
    <xf numFmtId="0" fontId="2" fillId="0" borderId="4" xfId="0" applyFont="1" applyBorder="1" applyAlignment="1">
      <alignment horizontal="center" wrapText="1"/>
    </xf>
    <xf numFmtId="42" fontId="2" fillId="0" borderId="26" xfId="0" applyNumberFormat="1" applyFont="1" applyBorder="1" applyAlignment="1">
      <alignment horizontal="center" vertical="center"/>
    </xf>
    <xf numFmtId="42" fontId="2" fillId="0" borderId="37" xfId="0" applyNumberFormat="1" applyFont="1" applyBorder="1" applyAlignment="1">
      <alignment horizontal="center" vertical="center"/>
    </xf>
    <xf numFmtId="42" fontId="2" fillId="0" borderId="2" xfId="0" applyNumberFormat="1" applyFont="1" applyBorder="1" applyAlignment="1">
      <alignment horizontal="center" vertical="center"/>
    </xf>
    <xf numFmtId="42" fontId="2" fillId="0" borderId="0" xfId="0" applyNumberFormat="1" applyFont="1" applyAlignment="1">
      <alignment horizontal="center" vertical="center"/>
    </xf>
    <xf numFmtId="165" fontId="2" fillId="0" borderId="0" xfId="0" applyNumberFormat="1" applyFont="1" applyAlignment="1">
      <alignment vertical="center"/>
    </xf>
    <xf numFmtId="41" fontId="2" fillId="0" borderId="2" xfId="0" applyNumberFormat="1" applyFont="1" applyBorder="1" applyAlignment="1">
      <alignment horizontal="right" vertical="center"/>
    </xf>
    <xf numFmtId="41" fontId="2" fillId="0" borderId="9" xfId="0" applyNumberFormat="1" applyFont="1" applyBorder="1" applyAlignment="1">
      <alignment horizontal="right" vertical="center"/>
    </xf>
    <xf numFmtId="41" fontId="2" fillId="0" borderId="26" xfId="0" applyNumberFormat="1" applyFont="1" applyBorder="1" applyAlignment="1">
      <alignment horizontal="right" vertical="center"/>
    </xf>
    <xf numFmtId="41" fontId="2" fillId="0" borderId="24" xfId="0" applyNumberFormat="1" applyFont="1" applyBorder="1" applyAlignment="1">
      <alignment horizontal="right" vertical="center"/>
    </xf>
    <xf numFmtId="0" fontId="0" fillId="0" borderId="24" xfId="0" applyBorder="1" applyAlignment="1">
      <alignment horizontal="right" vertical="center"/>
    </xf>
    <xf numFmtId="41" fontId="2" fillId="0" borderId="9" xfId="0" applyNumberFormat="1" applyFont="1" applyBorder="1" applyAlignment="1">
      <alignment vertical="center"/>
    </xf>
    <xf numFmtId="41" fontId="2" fillId="0" borderId="24" xfId="0" applyNumberFormat="1" applyFont="1" applyBorder="1" applyAlignment="1">
      <alignment vertical="center"/>
    </xf>
    <xf numFmtId="0" fontId="0" fillId="0" borderId="9" xfId="0" applyBorder="1" applyAlignment="1">
      <alignment horizontal="right" vertical="center"/>
    </xf>
    <xf numFmtId="41" fontId="2" fillId="0" borderId="39" xfId="0" applyNumberFormat="1" applyFont="1" applyBorder="1" applyAlignment="1">
      <alignment horizontal="right" vertical="center"/>
    </xf>
    <xf numFmtId="0" fontId="0" fillId="0" borderId="38" xfId="0" applyBorder="1" applyAlignment="1">
      <alignment horizontal="right" vertical="center"/>
    </xf>
    <xf numFmtId="42" fontId="2" fillId="0" borderId="39" xfId="0" applyNumberFormat="1" applyFont="1" applyBorder="1" applyAlignment="1">
      <alignment horizontal="center" vertical="center"/>
    </xf>
    <xf numFmtId="42" fontId="2" fillId="0" borderId="25" xfId="0" applyNumberFormat="1" applyFont="1" applyBorder="1" applyAlignment="1">
      <alignment horizontal="center" vertical="center"/>
    </xf>
    <xf numFmtId="0" fontId="0" fillId="0" borderId="38" xfId="0" applyBorder="1" applyAlignment="1">
      <alignment horizontal="center" vertical="center"/>
    </xf>
    <xf numFmtId="168" fontId="2" fillId="0" borderId="26" xfId="0" applyNumberFormat="1" applyFont="1" applyBorder="1" applyAlignment="1">
      <alignment horizontal="center" vertical="center"/>
    </xf>
    <xf numFmtId="168" fontId="2" fillId="0" borderId="37" xfId="0" applyNumberFormat="1" applyFont="1" applyBorder="1" applyAlignment="1">
      <alignment horizontal="center" vertical="center"/>
    </xf>
    <xf numFmtId="168" fontId="0" fillId="0" borderId="24" xfId="0" applyNumberFormat="1" applyBorder="1" applyAlignment="1">
      <alignment horizontal="center" vertical="center"/>
    </xf>
    <xf numFmtId="41" fontId="2" fillId="0" borderId="25" xfId="0" applyNumberFormat="1" applyFont="1" applyBorder="1" applyAlignment="1">
      <alignment horizontal="center" vertical="center"/>
    </xf>
    <xf numFmtId="41" fontId="2" fillId="0" borderId="39" xfId="0" applyNumberFormat="1" applyFont="1" applyBorder="1" applyAlignment="1">
      <alignment vertical="center"/>
    </xf>
    <xf numFmtId="0" fontId="0" fillId="0" borderId="38" xfId="0" applyBorder="1" applyAlignment="1">
      <alignment vertical="center"/>
    </xf>
    <xf numFmtId="41" fontId="2" fillId="0" borderId="39" xfId="0" applyNumberFormat="1" applyFont="1" applyBorder="1" applyAlignment="1">
      <alignment horizontal="center" vertical="center"/>
    </xf>
    <xf numFmtId="41" fontId="2" fillId="0" borderId="38" xfId="0" applyNumberFormat="1" applyFont="1" applyBorder="1" applyAlignment="1">
      <alignment horizontal="center" vertical="center"/>
    </xf>
    <xf numFmtId="41" fontId="2" fillId="0" borderId="38" xfId="0" applyNumberFormat="1" applyFont="1" applyBorder="1" applyAlignment="1">
      <alignment horizontal="right" vertical="center"/>
    </xf>
    <xf numFmtId="41" fontId="2" fillId="0" borderId="7" xfId="0" applyNumberFormat="1" applyFont="1" applyBorder="1" applyAlignment="1">
      <alignment horizontal="center" vertical="center"/>
    </xf>
    <xf numFmtId="41" fontId="2" fillId="0" borderId="4" xfId="0" applyNumberFormat="1" applyFont="1" applyBorder="1" applyAlignment="1">
      <alignment horizontal="center" vertical="center"/>
    </xf>
    <xf numFmtId="41" fontId="2" fillId="0" borderId="3" xfId="0" applyNumberFormat="1" applyFont="1" applyBorder="1" applyAlignment="1">
      <alignment horizontal="center" vertical="center"/>
    </xf>
    <xf numFmtId="41" fontId="2" fillId="0" borderId="7" xfId="0" applyNumberFormat="1" applyFont="1" applyBorder="1" applyAlignment="1">
      <alignment vertical="center"/>
    </xf>
    <xf numFmtId="0" fontId="0" fillId="0" borderId="7" xfId="0" applyBorder="1" applyAlignment="1">
      <alignment vertical="center"/>
    </xf>
    <xf numFmtId="41" fontId="2" fillId="0" borderId="4" xfId="0" applyNumberFormat="1" applyFont="1"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4" xfId="0" applyBorder="1" applyAlignment="1">
      <alignment horizontal="center" vertical="center"/>
    </xf>
    <xf numFmtId="41" fontId="2" fillId="0" borderId="3" xfId="0" applyNumberFormat="1" applyFont="1"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2" fillId="0" borderId="9" xfId="0" applyFont="1" applyBorder="1" applyAlignment="1">
      <alignment horizontal="center"/>
    </xf>
    <xf numFmtId="168" fontId="2" fillId="0" borderId="2" xfId="0" applyNumberFormat="1" applyFont="1" applyBorder="1" applyAlignment="1">
      <alignment horizontal="center" vertical="center"/>
    </xf>
    <xf numFmtId="168" fontId="2" fillId="0" borderId="0" xfId="0" applyNumberFormat="1" applyFont="1" applyAlignment="1">
      <alignment horizontal="center" vertical="center"/>
    </xf>
    <xf numFmtId="168" fontId="0" fillId="0" borderId="9" xfId="0" applyNumberFormat="1" applyBorder="1" applyAlignment="1">
      <alignment horizontal="center" vertical="center"/>
    </xf>
    <xf numFmtId="0" fontId="2" fillId="0" borderId="26" xfId="0" applyFont="1" applyBorder="1"/>
    <xf numFmtId="0" fontId="0" fillId="0" borderId="24" xfId="0" applyBorder="1"/>
  </cellXfs>
  <cellStyles count="24">
    <cellStyle name="Comma 2" xfId="1" xr:uid="{100E37C9-5C12-4F44-91A9-DD824522AA24}"/>
    <cellStyle name="Comma 2 2" xfId="2" xr:uid="{9DA0536E-D93A-47B0-BF48-89A2091CFE32}"/>
    <cellStyle name="Comma 3" xfId="3" xr:uid="{FA73B013-F8A1-4A4C-8B9F-48B5CED97606}"/>
    <cellStyle name="Comma 3 2" xfId="4" xr:uid="{2D8D2AB7-C72D-4381-94C0-83C1EF9A19CD}"/>
    <cellStyle name="Comma 3 2 2" xfId="5" xr:uid="{B40CCC55-FFF0-4FEF-95A4-115FAD251B82}"/>
    <cellStyle name="Comma 4" xfId="6" xr:uid="{36C306B4-EBEA-4A92-8AF4-C5CD958337E2}"/>
    <cellStyle name="Comma 4 2" xfId="7" xr:uid="{5F9345A8-596A-4831-BE9C-7E5DA7BE0E66}"/>
    <cellStyle name="Comma 4 3" xfId="8" xr:uid="{C2D747C7-00FA-467A-8DA0-87DC7096110F}"/>
    <cellStyle name="Comma 5" xfId="9" xr:uid="{10B38F1E-73C9-4E56-9E24-6A62E4736AF9}"/>
    <cellStyle name="Comma 5 2" xfId="10" xr:uid="{0AD40AF3-F1D1-42C3-BC91-33DF2A71668E}"/>
    <cellStyle name="Comma 6" xfId="11" xr:uid="{37AD34B5-D5F8-4145-9A80-144BA3E93F1B}"/>
    <cellStyle name="Comma 7" xfId="12" xr:uid="{0D783F61-CA0E-4F8E-B849-67694E2075D1}"/>
    <cellStyle name="Comma 8" xfId="13" xr:uid="{A26E8D2E-5B5A-44C8-B0E7-A35B987210FD}"/>
    <cellStyle name="Currency" xfId="14" builtinId="4"/>
    <cellStyle name="Normal" xfId="0" builtinId="0"/>
    <cellStyle name="Normal 2" xfId="15" xr:uid="{0AE6BD0A-97F7-431F-9DFD-B91B2B862D3B}"/>
    <cellStyle name="Normal 2 2" xfId="16" xr:uid="{6298AE63-A4A1-486F-B664-51520BC0BDD1}"/>
    <cellStyle name="Normal 3" xfId="17" xr:uid="{B276CE53-F7E7-4345-9FFD-60756470D71C}"/>
    <cellStyle name="Normal 3 2" xfId="18" xr:uid="{9484F689-FA49-45A5-BDD9-A877F46ADFFD}"/>
    <cellStyle name="Normal 4" xfId="19" xr:uid="{6F70551D-D231-4FD9-B79A-78AAE87E9E50}"/>
    <cellStyle name="Percent 2" xfId="20" xr:uid="{EC5E3F5B-B3BD-47E7-8428-3D04F7DD2F1F}"/>
    <cellStyle name="Percent 2 2" xfId="21" xr:uid="{95D581E0-6D7B-43B7-A930-3B1CF00AADD9}"/>
    <cellStyle name="Percent 3" xfId="22" xr:uid="{B86AE1D4-1673-4E19-9BA0-9F8A4789CAC3}"/>
    <cellStyle name="Percent 3 2" xfId="23" xr:uid="{3CCB457F-3157-4D14-8E9B-50EC6184BC5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SchoolFinance/Tax%20Levies/2023-2024/Tania/FY2023%20Tax%20Levies%20for%20School%20Purposes%20WA%20-%20Carol's%20Version%20-%20Tan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y Rate"/>
      <sheetName val="Amount"/>
      <sheetName val="Market Values"/>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F7D7A-DA3C-4ED7-9734-C6F4A11690F5}">
  <sheetPr codeName="Sheet1">
    <pageSetUpPr fitToPage="1"/>
  </sheetPr>
  <dimension ref="A1:R168"/>
  <sheetViews>
    <sheetView topLeftCell="A95" zoomScale="98" zoomScaleNormal="98" workbookViewId="0">
      <selection activeCell="N90" sqref="N90:N92"/>
    </sheetView>
  </sheetViews>
  <sheetFormatPr defaultRowHeight="12.75" x14ac:dyDescent="0.2"/>
  <cols>
    <col min="1" max="1" width="5.7109375" style="13" customWidth="1"/>
    <col min="2" max="2" width="19.5703125" style="13" customWidth="1"/>
    <col min="3" max="3" width="17" style="13" bestFit="1" customWidth="1"/>
    <col min="4" max="4" width="17" style="13" customWidth="1"/>
    <col min="5" max="8" width="13.42578125" style="13" customWidth="1"/>
    <col min="9" max="9" width="13" style="13" customWidth="1"/>
    <col min="10" max="10" width="3.7109375" style="15" customWidth="1"/>
    <col min="11" max="14" width="13.42578125" style="13" customWidth="1"/>
    <col min="15" max="15" width="9.140625" style="13"/>
    <col min="16" max="16" width="11.5703125" style="13" bestFit="1" customWidth="1"/>
    <col min="17" max="17" width="9.140625" style="13"/>
    <col min="18" max="18" width="19" style="13" customWidth="1"/>
    <col min="19" max="16384" width="9.140625" style="13"/>
  </cols>
  <sheetData>
    <row r="1" spans="1:18" x14ac:dyDescent="0.2">
      <c r="A1" s="42" t="s">
        <v>220</v>
      </c>
      <c r="B1" s="43"/>
      <c r="C1" s="43"/>
      <c r="D1" s="43"/>
      <c r="E1" s="43"/>
      <c r="F1" s="43"/>
      <c r="G1" s="43"/>
    </row>
    <row r="2" spans="1:18" s="9" customFormat="1" ht="89.25" customHeight="1" x14ac:dyDescent="0.2">
      <c r="A2" s="188" t="s">
        <v>103</v>
      </c>
      <c r="B2" s="189"/>
      <c r="C2" s="10" t="s">
        <v>104</v>
      </c>
      <c r="D2" s="10" t="s">
        <v>128</v>
      </c>
      <c r="E2" s="10" t="s">
        <v>119</v>
      </c>
      <c r="F2" s="10" t="s">
        <v>120</v>
      </c>
      <c r="G2" s="18" t="s">
        <v>121</v>
      </c>
      <c r="H2" s="10" t="s">
        <v>122</v>
      </c>
      <c r="I2" s="190" t="s">
        <v>123</v>
      </c>
      <c r="J2" s="191"/>
      <c r="K2" s="10" t="s">
        <v>124</v>
      </c>
      <c r="L2" s="10" t="s">
        <v>125</v>
      </c>
      <c r="M2" s="10" t="s">
        <v>126</v>
      </c>
      <c r="N2" s="10" t="s">
        <v>127</v>
      </c>
    </row>
    <row r="3" spans="1:18" s="9" customFormat="1" x14ac:dyDescent="0.2">
      <c r="A3" s="142">
        <v>1</v>
      </c>
      <c r="B3" s="175" t="s">
        <v>46</v>
      </c>
      <c r="C3" s="4">
        <v>45051266679</v>
      </c>
      <c r="D3" s="4"/>
      <c r="E3" s="70">
        <v>2.5526469999999999E-3</v>
      </c>
      <c r="F3" s="70">
        <v>2.3768500000000001E-4</v>
      </c>
      <c r="G3" s="70"/>
      <c r="H3" s="70">
        <v>5.9329999999999998E-6</v>
      </c>
      <c r="I3" s="70"/>
      <c r="J3" s="71"/>
      <c r="K3" s="145">
        <f>SUM(E3:I5)</f>
        <v>2.7969790000000002E-3</v>
      </c>
      <c r="L3" s="58"/>
      <c r="M3" s="70"/>
      <c r="N3" s="149">
        <f>SUM(K3:M5)</f>
        <v>2.7969790000000002E-3</v>
      </c>
    </row>
    <row r="4" spans="1:18" s="9" customFormat="1" x14ac:dyDescent="0.2">
      <c r="A4" s="143"/>
      <c r="B4" s="176"/>
      <c r="C4" s="3"/>
      <c r="D4" s="16">
        <f>C3+3914866849</f>
        <v>48966133528</v>
      </c>
      <c r="E4" s="72"/>
      <c r="F4" s="19"/>
      <c r="G4" s="72"/>
      <c r="H4" s="72"/>
      <c r="I4" s="72">
        <v>7.1399999999999996E-7</v>
      </c>
      <c r="J4" s="73" t="s">
        <v>131</v>
      </c>
      <c r="K4" s="154"/>
      <c r="L4" s="72"/>
      <c r="M4" s="72"/>
      <c r="N4" s="156"/>
    </row>
    <row r="5" spans="1:18" s="9" customFormat="1" x14ac:dyDescent="0.2">
      <c r="A5" s="144"/>
      <c r="B5" s="152"/>
      <c r="C5" s="82"/>
      <c r="D5" s="50">
        <f>C3+1702660399</f>
        <v>46753927078</v>
      </c>
      <c r="E5" s="83"/>
      <c r="F5" s="84"/>
      <c r="G5" s="83"/>
      <c r="H5" s="83"/>
      <c r="I5" s="83"/>
      <c r="J5" s="85"/>
      <c r="K5" s="155"/>
      <c r="L5" s="83"/>
      <c r="M5" s="83"/>
      <c r="N5" s="157"/>
    </row>
    <row r="6" spans="1:18" s="9" customFormat="1" x14ac:dyDescent="0.2">
      <c r="A6" s="142">
        <v>2</v>
      </c>
      <c r="B6" s="185" t="s">
        <v>130</v>
      </c>
      <c r="C6" s="48">
        <v>54387159324</v>
      </c>
      <c r="D6" s="58"/>
      <c r="E6" s="86"/>
      <c r="F6" s="58"/>
      <c r="G6" s="70"/>
      <c r="H6" s="70">
        <v>1.1164E-5</v>
      </c>
      <c r="I6" s="70"/>
      <c r="J6" s="71"/>
      <c r="K6" s="145">
        <f>SUM(E6:I8)</f>
        <v>4.5741999999999997E-5</v>
      </c>
      <c r="L6" s="70"/>
      <c r="M6" s="70"/>
      <c r="N6" s="149">
        <f>SUM(K6:M8)</f>
        <v>3.31832E-4</v>
      </c>
      <c r="R6" s="44"/>
    </row>
    <row r="7" spans="1:18" s="9" customFormat="1" x14ac:dyDescent="0.2">
      <c r="A7" s="143"/>
      <c r="B7" s="176"/>
      <c r="C7" s="16"/>
      <c r="D7" s="16">
        <f>C6+1539299071</f>
        <v>55926458395</v>
      </c>
      <c r="E7" s="74"/>
      <c r="F7" s="75">
        <v>3.4492000000000001E-5</v>
      </c>
      <c r="G7" s="75"/>
      <c r="H7" s="75"/>
      <c r="I7" s="75">
        <v>8.6000000000000002E-8</v>
      </c>
      <c r="J7" s="76" t="s">
        <v>131</v>
      </c>
      <c r="K7" s="154"/>
      <c r="L7" s="75"/>
      <c r="M7" s="75">
        <v>2.8609000000000002E-4</v>
      </c>
      <c r="N7" s="156"/>
    </row>
    <row r="8" spans="1:18" s="9" customFormat="1" x14ac:dyDescent="0.2">
      <c r="A8" s="144"/>
      <c r="B8" s="152"/>
      <c r="C8" s="50"/>
      <c r="D8" s="50"/>
      <c r="E8" s="78"/>
      <c r="F8" s="79"/>
      <c r="G8" s="79"/>
      <c r="H8" s="79"/>
      <c r="I8" s="79"/>
      <c r="J8" s="80"/>
      <c r="K8" s="155"/>
      <c r="L8" s="79"/>
      <c r="M8" s="79"/>
      <c r="N8" s="157"/>
      <c r="R8" s="17"/>
    </row>
    <row r="9" spans="1:18" s="9" customFormat="1" x14ac:dyDescent="0.2">
      <c r="A9" s="142">
        <v>3</v>
      </c>
      <c r="B9" s="175" t="s">
        <v>47</v>
      </c>
      <c r="C9" s="48">
        <v>5617241041</v>
      </c>
      <c r="D9" s="48"/>
      <c r="E9" s="86"/>
      <c r="F9" s="70"/>
      <c r="G9" s="70"/>
      <c r="H9" s="70">
        <v>2.3198E-5</v>
      </c>
      <c r="I9" s="70"/>
      <c r="J9" s="71"/>
      <c r="K9" s="145">
        <f>SUM(E9:I10)</f>
        <v>1.1977300000000001E-4</v>
      </c>
      <c r="L9" s="70"/>
      <c r="M9" s="70"/>
      <c r="N9" s="149">
        <f>SUM(K9:M10)</f>
        <v>1.1977300000000001E-4</v>
      </c>
      <c r="R9" s="44"/>
    </row>
    <row r="10" spans="1:18" s="9" customFormat="1" x14ac:dyDescent="0.2">
      <c r="A10" s="144"/>
      <c r="B10" s="152"/>
      <c r="C10" s="50"/>
      <c r="D10" s="50">
        <f>C9+123885042</f>
        <v>5741126083</v>
      </c>
      <c r="E10" s="78"/>
      <c r="F10" s="79"/>
      <c r="G10" s="79">
        <v>9.6575000000000003E-5</v>
      </c>
      <c r="H10" s="79"/>
      <c r="I10" s="79"/>
      <c r="J10" s="80"/>
      <c r="K10" s="155"/>
      <c r="L10" s="79"/>
      <c r="M10" s="79"/>
      <c r="N10" s="157"/>
    </row>
    <row r="11" spans="1:18" s="9" customFormat="1" x14ac:dyDescent="0.2">
      <c r="A11" s="87">
        <v>11</v>
      </c>
      <c r="B11" s="88" t="s">
        <v>0</v>
      </c>
      <c r="C11" s="63">
        <v>739563337</v>
      </c>
      <c r="D11" s="63"/>
      <c r="E11" s="89"/>
      <c r="F11" s="90">
        <v>3.5119600000000002E-4</v>
      </c>
      <c r="G11" s="90"/>
      <c r="H11" s="90">
        <v>2.7073999999999999E-5</v>
      </c>
      <c r="I11" s="90"/>
      <c r="J11" s="91"/>
      <c r="K11" s="90">
        <f>SUM(E11:I11)</f>
        <v>3.7827E-4</v>
      </c>
      <c r="L11" s="90"/>
      <c r="M11" s="90">
        <v>1.77591E-4</v>
      </c>
      <c r="N11" s="92">
        <f>SUM(K11:M11)</f>
        <v>5.5586099999999994E-4</v>
      </c>
    </row>
    <row r="12" spans="1:18" s="9" customFormat="1" x14ac:dyDescent="0.2">
      <c r="A12" s="87">
        <v>13</v>
      </c>
      <c r="B12" s="93" t="s">
        <v>1</v>
      </c>
      <c r="C12" s="63">
        <v>478060242</v>
      </c>
      <c r="D12" s="63"/>
      <c r="E12" s="89"/>
      <c r="F12" s="90"/>
      <c r="G12" s="90"/>
      <c r="H12" s="90">
        <v>3.8022000000000003E-5</v>
      </c>
      <c r="I12" s="90"/>
      <c r="J12" s="91"/>
      <c r="K12" s="90">
        <f>SUM(E12:I12)</f>
        <v>3.8022000000000003E-5</v>
      </c>
      <c r="L12" s="90"/>
      <c r="M12" s="94"/>
      <c r="N12" s="92">
        <f>SUM(K12:M12)</f>
        <v>3.8022000000000003E-5</v>
      </c>
    </row>
    <row r="13" spans="1:18" s="9" customFormat="1" x14ac:dyDescent="0.2">
      <c r="A13" s="87">
        <v>21</v>
      </c>
      <c r="B13" s="93" t="s">
        <v>48</v>
      </c>
      <c r="C13" s="63">
        <v>1412321335</v>
      </c>
      <c r="D13" s="63"/>
      <c r="E13" s="89"/>
      <c r="F13" s="90">
        <v>3.45438E-4</v>
      </c>
      <c r="G13" s="90"/>
      <c r="H13" s="90">
        <v>4.3830000000000002E-6</v>
      </c>
      <c r="I13" s="90"/>
      <c r="J13" s="91"/>
      <c r="K13" s="90">
        <f>SUM(E13:I13)</f>
        <v>3.49821E-4</v>
      </c>
      <c r="L13" s="90"/>
      <c r="M13" s="90">
        <v>6.37249E-4</v>
      </c>
      <c r="N13" s="92">
        <f>SUM(K13:M13)</f>
        <v>9.8707000000000005E-4</v>
      </c>
      <c r="R13" s="20"/>
    </row>
    <row r="14" spans="1:18" s="9" customFormat="1" x14ac:dyDescent="0.2">
      <c r="A14" s="142">
        <v>25</v>
      </c>
      <c r="B14" s="186" t="s">
        <v>2</v>
      </c>
      <c r="C14" s="48">
        <v>7464739555</v>
      </c>
      <c r="D14" s="58"/>
      <c r="E14" s="86"/>
      <c r="F14" s="58"/>
      <c r="G14" s="70"/>
      <c r="H14" s="70"/>
      <c r="I14" s="70"/>
      <c r="J14" s="71"/>
      <c r="K14" s="145">
        <f>SUM(E14:I15)</f>
        <v>2.76001E-4</v>
      </c>
      <c r="L14" s="58"/>
      <c r="M14" s="58"/>
      <c r="N14" s="149">
        <f>SUM(K14:M15)</f>
        <v>1.20316E-3</v>
      </c>
    </row>
    <row r="15" spans="1:18" s="9" customFormat="1" x14ac:dyDescent="0.2">
      <c r="A15" s="151"/>
      <c r="B15" s="148"/>
      <c r="C15" s="50"/>
      <c r="D15" s="50">
        <f>C14+156234181</f>
        <v>7620973736</v>
      </c>
      <c r="E15" s="78"/>
      <c r="F15" s="79">
        <v>2.76001E-4</v>
      </c>
      <c r="G15" s="79"/>
      <c r="H15" s="79"/>
      <c r="I15" s="79"/>
      <c r="J15" s="80"/>
      <c r="K15" s="146"/>
      <c r="L15" s="79"/>
      <c r="M15" s="79">
        <v>9.2715899999999999E-4</v>
      </c>
      <c r="N15" s="150"/>
    </row>
    <row r="16" spans="1:18" s="9" customFormat="1" x14ac:dyDescent="0.2">
      <c r="A16" s="87">
        <v>33</v>
      </c>
      <c r="B16" s="88" t="s">
        <v>49</v>
      </c>
      <c r="C16" s="63">
        <v>2221511117</v>
      </c>
      <c r="D16" s="63"/>
      <c r="E16" s="89"/>
      <c r="F16" s="90">
        <v>2.7520000000000001E-6</v>
      </c>
      <c r="G16" s="90"/>
      <c r="H16" s="90">
        <v>4.0912999999999999E-5</v>
      </c>
      <c r="I16" s="90"/>
      <c r="J16" s="91"/>
      <c r="K16" s="90">
        <f>SUM(E16:I16)</f>
        <v>4.3664999999999996E-5</v>
      </c>
      <c r="L16" s="90"/>
      <c r="M16" s="90">
        <v>1.80058E-4</v>
      </c>
      <c r="N16" s="92">
        <f>SUM(K16:M16)</f>
        <v>2.23723E-4</v>
      </c>
    </row>
    <row r="17" spans="1:16" s="9" customFormat="1" x14ac:dyDescent="0.2">
      <c r="A17" s="87">
        <v>41</v>
      </c>
      <c r="B17" s="88" t="s">
        <v>50</v>
      </c>
      <c r="C17" s="63">
        <v>1082124182</v>
      </c>
      <c r="D17" s="63"/>
      <c r="E17" s="89"/>
      <c r="F17" s="90">
        <v>1.477101E-3</v>
      </c>
      <c r="G17" s="90"/>
      <c r="H17" s="90">
        <v>2.2348E-5</v>
      </c>
      <c r="I17" s="90"/>
      <c r="J17" s="91"/>
      <c r="K17" s="90">
        <f>SUM(E17:I17)</f>
        <v>1.4994489999999999E-3</v>
      </c>
      <c r="L17" s="90"/>
      <c r="M17" s="90"/>
      <c r="N17" s="92">
        <f>SUM(K17:M17)</f>
        <v>1.4994489999999999E-3</v>
      </c>
    </row>
    <row r="18" spans="1:16" s="9" customFormat="1" x14ac:dyDescent="0.2">
      <c r="A18" s="95">
        <v>44</v>
      </c>
      <c r="B18" s="96" t="s">
        <v>118</v>
      </c>
      <c r="C18" s="63">
        <v>1273509196</v>
      </c>
      <c r="D18" s="63"/>
      <c r="E18" s="89"/>
      <c r="F18" s="90"/>
      <c r="G18" s="90"/>
      <c r="H18" s="90">
        <v>1.9148999999999999E-5</v>
      </c>
      <c r="I18" s="90"/>
      <c r="J18" s="91"/>
      <c r="K18" s="90">
        <f>SUM(E18:I18)</f>
        <v>1.9148999999999999E-5</v>
      </c>
      <c r="L18" s="90"/>
      <c r="M18" s="90"/>
      <c r="N18" s="92">
        <f>SUM(K18:M18)</f>
        <v>1.9148999999999999E-5</v>
      </c>
    </row>
    <row r="19" spans="1:16" s="9" customFormat="1" x14ac:dyDescent="0.2">
      <c r="A19" s="87">
        <v>52</v>
      </c>
      <c r="B19" s="93" t="s">
        <v>3</v>
      </c>
      <c r="C19" s="63">
        <v>915157628</v>
      </c>
      <c r="D19" s="63"/>
      <c r="E19" s="89"/>
      <c r="F19" s="90">
        <v>1.69946E-4</v>
      </c>
      <c r="G19" s="90"/>
      <c r="H19" s="90"/>
      <c r="I19" s="90"/>
      <c r="J19" s="91"/>
      <c r="K19" s="90">
        <f>SUM(E19:I19)</f>
        <v>1.69946E-4</v>
      </c>
      <c r="L19" s="90"/>
      <c r="M19" s="90">
        <v>8.1953099999999997E-4</v>
      </c>
      <c r="N19" s="92">
        <f>SUM(K19:M19)</f>
        <v>9.8947699999999989E-4</v>
      </c>
      <c r="P19" s="11"/>
    </row>
    <row r="20" spans="1:16" s="9" customFormat="1" x14ac:dyDescent="0.2">
      <c r="A20" s="142">
        <v>55</v>
      </c>
      <c r="B20" s="147" t="s">
        <v>4</v>
      </c>
      <c r="C20" s="48">
        <v>1685032965</v>
      </c>
      <c r="D20" s="48"/>
      <c r="E20" s="86"/>
      <c r="F20" s="70"/>
      <c r="G20" s="70"/>
      <c r="H20" s="70"/>
      <c r="I20" s="70"/>
      <c r="J20" s="71"/>
      <c r="K20" s="145">
        <f>SUM(E20:I21)</f>
        <v>8.0809000000000002E-4</v>
      </c>
      <c r="L20" s="70"/>
      <c r="M20" s="70"/>
      <c r="N20" s="149">
        <f>SUM(K20:M21)</f>
        <v>1.148633E-3</v>
      </c>
    </row>
    <row r="21" spans="1:16" s="9" customFormat="1" x14ac:dyDescent="0.2">
      <c r="A21" s="151"/>
      <c r="B21" s="148"/>
      <c r="C21" s="50"/>
      <c r="D21" s="50">
        <f>C20+76857585</f>
        <v>1761890550</v>
      </c>
      <c r="E21" s="78"/>
      <c r="F21" s="79">
        <v>8.0809000000000002E-4</v>
      </c>
      <c r="G21" s="79"/>
      <c r="H21" s="79"/>
      <c r="I21" s="79"/>
      <c r="J21" s="80"/>
      <c r="K21" s="146"/>
      <c r="L21" s="79"/>
      <c r="M21" s="79">
        <v>3.4054300000000001E-4</v>
      </c>
      <c r="N21" s="150"/>
    </row>
    <row r="22" spans="1:16" s="9" customFormat="1" x14ac:dyDescent="0.2">
      <c r="A22" s="87">
        <v>58</v>
      </c>
      <c r="B22" s="93" t="s">
        <v>5</v>
      </c>
      <c r="C22" s="63">
        <v>403099853</v>
      </c>
      <c r="D22" s="63"/>
      <c r="E22" s="89"/>
      <c r="F22" s="90">
        <v>2.3567359999999999E-3</v>
      </c>
      <c r="G22" s="90"/>
      <c r="H22" s="90"/>
      <c r="I22" s="90"/>
      <c r="J22" s="91"/>
      <c r="K22" s="90">
        <f>SUM(E22:I22)</f>
        <v>2.3567359999999999E-3</v>
      </c>
      <c r="L22" s="90">
        <v>1.0332449999999999E-3</v>
      </c>
      <c r="M22" s="90"/>
      <c r="N22" s="92">
        <f>SUM(K22:M22)</f>
        <v>3.3899809999999998E-3</v>
      </c>
    </row>
    <row r="23" spans="1:16" s="9" customFormat="1" ht="12" customHeight="1" x14ac:dyDescent="0.2">
      <c r="A23" s="87">
        <v>59</v>
      </c>
      <c r="B23" s="93" t="s">
        <v>6</v>
      </c>
      <c r="C23" s="63">
        <v>410724293</v>
      </c>
      <c r="D23" s="63"/>
      <c r="E23" s="89"/>
      <c r="F23" s="90"/>
      <c r="G23" s="90"/>
      <c r="H23" s="90">
        <v>6.3864999999999999E-5</v>
      </c>
      <c r="I23" s="90"/>
      <c r="J23" s="91"/>
      <c r="K23" s="90">
        <f>SUM(E23:I23)</f>
        <v>6.3864999999999999E-5</v>
      </c>
      <c r="L23" s="90"/>
      <c r="M23" s="90"/>
      <c r="N23" s="92">
        <f>SUM(K23:M23)</f>
        <v>6.3864999999999999E-5</v>
      </c>
    </row>
    <row r="24" spans="1:16" s="9" customFormat="1" x14ac:dyDescent="0.2">
      <c r="A24" s="142">
        <v>60</v>
      </c>
      <c r="B24" s="160" t="s">
        <v>51</v>
      </c>
      <c r="C24" s="48">
        <v>1350860936</v>
      </c>
      <c r="D24" s="48"/>
      <c r="E24" s="97"/>
      <c r="F24" s="98"/>
      <c r="G24" s="98"/>
      <c r="H24" s="98">
        <v>3.0494E-5</v>
      </c>
      <c r="I24" s="98"/>
      <c r="J24" s="99"/>
      <c r="K24" s="178">
        <f>SUM(E24:I25)</f>
        <v>5.6201100000000006E-4</v>
      </c>
      <c r="L24" s="98"/>
      <c r="M24" s="98"/>
      <c r="N24" s="180">
        <f>SUM(K24:M25)</f>
        <v>6.7668900000000007E-4</v>
      </c>
    </row>
    <row r="25" spans="1:16" s="9" customFormat="1" x14ac:dyDescent="0.2">
      <c r="A25" s="151"/>
      <c r="B25" s="164"/>
      <c r="C25" s="50"/>
      <c r="D25" s="50">
        <f>C24+13160103</f>
        <v>1364021039</v>
      </c>
      <c r="E25" s="100"/>
      <c r="F25" s="83">
        <v>5.3151700000000001E-4</v>
      </c>
      <c r="G25" s="83"/>
      <c r="H25" s="83"/>
      <c r="I25" s="83"/>
      <c r="J25" s="85"/>
      <c r="K25" s="179"/>
      <c r="L25" s="83">
        <v>1.14678E-4</v>
      </c>
      <c r="M25" s="83"/>
      <c r="N25" s="181"/>
    </row>
    <row r="26" spans="1:16" s="9" customFormat="1" x14ac:dyDescent="0.2">
      <c r="A26" s="142">
        <v>61</v>
      </c>
      <c r="B26" s="160" t="s">
        <v>52</v>
      </c>
      <c r="C26" s="48">
        <v>22489472043</v>
      </c>
      <c r="D26" s="48"/>
      <c r="E26" s="70">
        <v>1.3126590000000001E-3</v>
      </c>
      <c r="F26" s="70">
        <v>1.1561E-4</v>
      </c>
      <c r="G26" s="70"/>
      <c r="H26" s="70">
        <v>3.0800000000000001E-7</v>
      </c>
      <c r="I26" s="70"/>
      <c r="J26" s="71"/>
      <c r="K26" s="178">
        <f>SUM(E26:I27)</f>
        <v>1.4368050000000002E-3</v>
      </c>
      <c r="L26" s="70"/>
      <c r="M26" s="70"/>
      <c r="N26" s="180">
        <f>SUM(K26:M27)</f>
        <v>1.6488740000000003E-3</v>
      </c>
    </row>
    <row r="27" spans="1:16" s="9" customFormat="1" x14ac:dyDescent="0.2">
      <c r="A27" s="151"/>
      <c r="B27" s="161"/>
      <c r="C27" s="50"/>
      <c r="D27" s="50">
        <f>C26+1087776334</f>
        <v>23577248377</v>
      </c>
      <c r="E27" s="78"/>
      <c r="F27" s="79">
        <v>8.2279999999999998E-6</v>
      </c>
      <c r="G27" s="79"/>
      <c r="H27" s="79"/>
      <c r="I27" s="79"/>
      <c r="J27" s="80"/>
      <c r="K27" s="182"/>
      <c r="L27" s="79"/>
      <c r="M27" s="79">
        <v>2.1206900000000001E-4</v>
      </c>
      <c r="N27" s="183"/>
    </row>
    <row r="28" spans="1:16" s="9" customFormat="1" x14ac:dyDescent="0.2">
      <c r="A28" s="87">
        <v>71</v>
      </c>
      <c r="B28" s="93" t="s">
        <v>7</v>
      </c>
      <c r="C28" s="63">
        <v>1417057789</v>
      </c>
      <c r="D28" s="63"/>
      <c r="E28" s="89"/>
      <c r="F28" s="90">
        <v>2.8227500000000002E-4</v>
      </c>
      <c r="G28" s="90"/>
      <c r="H28" s="90">
        <v>1.0733E-5</v>
      </c>
      <c r="I28" s="90"/>
      <c r="J28" s="91"/>
      <c r="K28" s="90">
        <f>SUM(E28:I28)</f>
        <v>2.9300800000000004E-4</v>
      </c>
      <c r="L28" s="90">
        <v>5.5759799999999997E-4</v>
      </c>
      <c r="M28" s="90"/>
      <c r="N28" s="92">
        <f>SUM(K28:M28)</f>
        <v>8.5060600000000006E-4</v>
      </c>
    </row>
    <row r="29" spans="1:16" s="9" customFormat="1" x14ac:dyDescent="0.2">
      <c r="A29" s="87">
        <v>72</v>
      </c>
      <c r="B29" s="93" t="s">
        <v>8</v>
      </c>
      <c r="C29" s="63">
        <v>1029605847</v>
      </c>
      <c r="D29" s="63"/>
      <c r="E29" s="89"/>
      <c r="F29" s="90">
        <v>3.1865600000000001E-4</v>
      </c>
      <c r="G29" s="90"/>
      <c r="H29" s="90">
        <v>4.2960000000000002E-5</v>
      </c>
      <c r="I29" s="90"/>
      <c r="J29" s="91"/>
      <c r="K29" s="90">
        <f>SUM(E29:I29)</f>
        <v>3.6161599999999999E-4</v>
      </c>
      <c r="L29" s="90"/>
      <c r="M29" s="90"/>
      <c r="N29" s="92">
        <f>SUM(K29:M29)</f>
        <v>3.6161599999999999E-4</v>
      </c>
    </row>
    <row r="30" spans="1:16" s="9" customFormat="1" x14ac:dyDescent="0.2">
      <c r="A30" s="87">
        <v>73</v>
      </c>
      <c r="B30" s="93" t="s">
        <v>45</v>
      </c>
      <c r="C30" s="63">
        <v>455048437</v>
      </c>
      <c r="D30" s="63"/>
      <c r="E30" s="89"/>
      <c r="F30" s="90">
        <v>5.5235400000000002E-4</v>
      </c>
      <c r="G30" s="90"/>
      <c r="H30" s="90">
        <v>1.9596E-5</v>
      </c>
      <c r="I30" s="90"/>
      <c r="J30" s="91"/>
      <c r="K30" s="90">
        <f>SUM(E30:I30)</f>
        <v>5.7195E-4</v>
      </c>
      <c r="L30" s="90"/>
      <c r="M30" s="90"/>
      <c r="N30" s="92">
        <f>SUM(K30:M30)</f>
        <v>5.7195E-4</v>
      </c>
    </row>
    <row r="31" spans="1:16" s="9" customFormat="1" x14ac:dyDescent="0.2">
      <c r="A31" s="142">
        <v>83</v>
      </c>
      <c r="B31" s="147" t="s">
        <v>53</v>
      </c>
      <c r="C31" s="48">
        <v>5421384045</v>
      </c>
      <c r="D31" s="58"/>
      <c r="E31" s="86"/>
      <c r="F31" s="58"/>
      <c r="G31" s="70"/>
      <c r="H31" s="70">
        <v>2.5439000000000002E-5</v>
      </c>
      <c r="I31" s="70"/>
      <c r="J31" s="71"/>
      <c r="K31" s="171">
        <f>SUM(E31:I32)</f>
        <v>2.5439000000000002E-5</v>
      </c>
      <c r="L31" s="70"/>
      <c r="M31" s="70"/>
      <c r="N31" s="149">
        <f>SUM(K31:M32)</f>
        <v>2.5439000000000002E-5</v>
      </c>
    </row>
    <row r="32" spans="1:16" s="9" customFormat="1" x14ac:dyDescent="0.2">
      <c r="A32" s="151"/>
      <c r="B32" s="148"/>
      <c r="C32" s="50"/>
      <c r="D32" s="50"/>
      <c r="E32" s="78"/>
      <c r="F32" s="79"/>
      <c r="G32" s="79"/>
      <c r="H32" s="79"/>
      <c r="I32" s="79"/>
      <c r="J32" s="80"/>
      <c r="K32" s="174"/>
      <c r="L32" s="79"/>
      <c r="M32" s="79"/>
      <c r="N32" s="150"/>
    </row>
    <row r="33" spans="1:14" s="9" customFormat="1" x14ac:dyDescent="0.2">
      <c r="A33" s="142">
        <v>84</v>
      </c>
      <c r="B33" s="147" t="s">
        <v>43</v>
      </c>
      <c r="C33" s="48">
        <v>13279916404</v>
      </c>
      <c r="D33" s="58"/>
      <c r="E33" s="86"/>
      <c r="F33" s="101">
        <v>9.5633100000000004E-4</v>
      </c>
      <c r="G33" s="70"/>
      <c r="H33" s="70">
        <v>2.2549999999999999E-5</v>
      </c>
      <c r="I33" s="70"/>
      <c r="J33" s="71"/>
      <c r="K33" s="171">
        <f>SUM(E33:I34)</f>
        <v>9.7888100000000002E-4</v>
      </c>
      <c r="L33" s="70"/>
      <c r="M33" s="58"/>
      <c r="N33" s="149">
        <f>SUM(K33:M34)</f>
        <v>9.7888100000000002E-4</v>
      </c>
    </row>
    <row r="34" spans="1:14" s="9" customFormat="1" x14ac:dyDescent="0.2">
      <c r="A34" s="151"/>
      <c r="B34" s="148"/>
      <c r="C34" s="50"/>
      <c r="D34" s="50">
        <f>C33+678882921</f>
        <v>13958799325</v>
      </c>
      <c r="E34" s="78"/>
      <c r="F34" s="79"/>
      <c r="G34" s="79"/>
      <c r="H34" s="79"/>
      <c r="I34" s="79"/>
      <c r="J34" s="80"/>
      <c r="K34" s="174"/>
      <c r="L34" s="79"/>
      <c r="M34" s="79"/>
      <c r="N34" s="150"/>
    </row>
    <row r="35" spans="1:14" s="9" customFormat="1" x14ac:dyDescent="0.2">
      <c r="A35" s="142">
        <v>91</v>
      </c>
      <c r="B35" s="147" t="s">
        <v>9</v>
      </c>
      <c r="C35" s="48">
        <v>7969999030</v>
      </c>
      <c r="D35" s="48"/>
      <c r="E35" s="86"/>
      <c r="F35" s="70"/>
      <c r="G35" s="70"/>
      <c r="H35" s="70"/>
      <c r="I35" s="70"/>
      <c r="J35" s="71"/>
      <c r="K35" s="145">
        <f>SUM(E35:I36)</f>
        <v>1.79932E-4</v>
      </c>
      <c r="L35" s="70"/>
      <c r="M35" s="70"/>
      <c r="N35" s="149">
        <f>SUM(K35:M36)</f>
        <v>4.76047E-4</v>
      </c>
    </row>
    <row r="36" spans="1:14" s="9" customFormat="1" x14ac:dyDescent="0.2">
      <c r="A36" s="151"/>
      <c r="B36" s="148"/>
      <c r="C36" s="50"/>
      <c r="D36" s="50">
        <f>C35+270048232</f>
        <v>8240047262</v>
      </c>
      <c r="E36" s="78"/>
      <c r="F36" s="79">
        <v>1.79932E-4</v>
      </c>
      <c r="G36" s="79"/>
      <c r="H36" s="79"/>
      <c r="I36" s="79"/>
      <c r="J36" s="80"/>
      <c r="K36" s="146"/>
      <c r="L36" s="79"/>
      <c r="M36" s="79">
        <v>2.9611500000000001E-4</v>
      </c>
      <c r="N36" s="150"/>
    </row>
    <row r="37" spans="1:14" s="9" customFormat="1" x14ac:dyDescent="0.2">
      <c r="A37" s="87">
        <v>92</v>
      </c>
      <c r="B37" s="88" t="s">
        <v>117</v>
      </c>
      <c r="C37" s="63">
        <v>506108824</v>
      </c>
      <c r="D37" s="63"/>
      <c r="E37" s="90">
        <v>2.6377699999999998E-4</v>
      </c>
      <c r="F37" s="90"/>
      <c r="G37" s="90"/>
      <c r="H37" s="90">
        <v>4.0009000000000003E-5</v>
      </c>
      <c r="I37" s="90">
        <v>2.3907900000000001E-4</v>
      </c>
      <c r="J37" s="91" t="s">
        <v>108</v>
      </c>
      <c r="K37" s="90">
        <f>SUM(E37:I37)</f>
        <v>5.4286500000000001E-4</v>
      </c>
      <c r="L37" s="90"/>
      <c r="M37" s="90">
        <v>9.5279999999999996E-5</v>
      </c>
      <c r="N37" s="92">
        <f>SUM(K37:M37)</f>
        <v>6.3814500000000001E-4</v>
      </c>
    </row>
    <row r="38" spans="1:14" s="9" customFormat="1" x14ac:dyDescent="0.2">
      <c r="A38" s="142">
        <v>93</v>
      </c>
      <c r="B38" s="175" t="s">
        <v>54</v>
      </c>
      <c r="C38" s="48">
        <v>7417060223</v>
      </c>
      <c r="D38" s="48"/>
      <c r="E38" s="86"/>
      <c r="F38" s="70"/>
      <c r="G38" s="70"/>
      <c r="H38" s="70"/>
      <c r="I38" s="70"/>
      <c r="J38" s="71"/>
      <c r="K38" s="145">
        <f>SUM(E38:J39)</f>
        <v>7.7148899999999999E-4</v>
      </c>
      <c r="L38" s="70"/>
      <c r="M38" s="70"/>
      <c r="N38" s="149">
        <f>SUM(K38:M39)</f>
        <v>1.9420220000000001E-3</v>
      </c>
    </row>
    <row r="39" spans="1:14" s="9" customFormat="1" x14ac:dyDescent="0.2">
      <c r="A39" s="151"/>
      <c r="B39" s="187"/>
      <c r="C39" s="50"/>
      <c r="D39" s="50">
        <f>C38+100867580</f>
        <v>7517927803</v>
      </c>
      <c r="E39" s="78"/>
      <c r="F39" s="79">
        <v>7.7148899999999999E-4</v>
      </c>
      <c r="G39" s="79"/>
      <c r="H39" s="79"/>
      <c r="I39" s="79"/>
      <c r="J39" s="80"/>
      <c r="K39" s="146"/>
      <c r="L39" s="79">
        <f>0.000159618+0.000159618+0.000159618+0.000159618+0.000159618</f>
        <v>7.9809E-4</v>
      </c>
      <c r="M39" s="79">
        <v>3.7244300000000003E-4</v>
      </c>
      <c r="N39" s="150"/>
    </row>
    <row r="40" spans="1:14" s="9" customFormat="1" x14ac:dyDescent="0.2">
      <c r="A40" s="142">
        <v>101</v>
      </c>
      <c r="B40" s="147" t="s">
        <v>55</v>
      </c>
      <c r="C40" s="48">
        <v>2462279135</v>
      </c>
      <c r="D40" s="48"/>
      <c r="E40" s="86"/>
      <c r="F40" s="70"/>
      <c r="G40" s="70"/>
      <c r="H40" s="70">
        <v>3.0323000000000001E-5</v>
      </c>
      <c r="I40" s="70"/>
      <c r="J40" s="71"/>
      <c r="K40" s="145">
        <f>SUM(E40:J41)</f>
        <v>7.2173300000000001E-4</v>
      </c>
      <c r="L40" s="70"/>
      <c r="M40" s="70"/>
      <c r="N40" s="149">
        <f>SUM(K40:M41)</f>
        <v>7.2173300000000001E-4</v>
      </c>
    </row>
    <row r="41" spans="1:14" s="9" customFormat="1" x14ac:dyDescent="0.2">
      <c r="A41" s="144"/>
      <c r="B41" s="152"/>
      <c r="C41" s="50"/>
      <c r="D41" s="50">
        <f>C40+25084104</f>
        <v>2487363239</v>
      </c>
      <c r="E41" s="78"/>
      <c r="F41" s="79">
        <v>6.9141000000000005E-4</v>
      </c>
      <c r="G41" s="79"/>
      <c r="H41" s="79"/>
      <c r="I41" s="79"/>
      <c r="J41" s="80"/>
      <c r="K41" s="146"/>
      <c r="L41" s="79"/>
      <c r="M41" s="79"/>
      <c r="N41" s="192"/>
    </row>
    <row r="42" spans="1:14" s="9" customFormat="1" x14ac:dyDescent="0.2">
      <c r="A42" s="87">
        <v>111</v>
      </c>
      <c r="B42" s="93" t="s">
        <v>106</v>
      </c>
      <c r="C42" s="63">
        <v>259045733</v>
      </c>
      <c r="D42" s="63"/>
      <c r="E42" s="89"/>
      <c r="F42" s="90"/>
      <c r="G42" s="90"/>
      <c r="H42" s="90">
        <v>9.7746999999999998E-5</v>
      </c>
      <c r="I42" s="90"/>
      <c r="J42" s="91"/>
      <c r="K42" s="90">
        <f>SUM(E42:I42)</f>
        <v>9.7746999999999998E-5</v>
      </c>
      <c r="L42" s="90"/>
      <c r="M42" s="90">
        <v>2.30573E-4</v>
      </c>
      <c r="N42" s="92">
        <f>SUM(K42:M42)</f>
        <v>3.2832E-4</v>
      </c>
    </row>
    <row r="43" spans="1:14" s="9" customFormat="1" x14ac:dyDescent="0.2">
      <c r="A43" s="87">
        <v>121</v>
      </c>
      <c r="B43" s="93" t="s">
        <v>56</v>
      </c>
      <c r="C43" s="63">
        <v>301094024</v>
      </c>
      <c r="D43" s="63"/>
      <c r="E43" s="89"/>
      <c r="F43" s="90">
        <f>0.000449172+0.000249092</f>
        <v>6.9826400000000009E-4</v>
      </c>
      <c r="G43" s="90"/>
      <c r="H43" s="90">
        <v>3.0187000000000001E-5</v>
      </c>
      <c r="I43" s="90"/>
      <c r="J43" s="91"/>
      <c r="K43" s="90">
        <f>SUM(E43:I43)</f>
        <v>7.2845100000000008E-4</v>
      </c>
      <c r="L43" s="90"/>
      <c r="M43" s="90">
        <v>6.6424E-5</v>
      </c>
      <c r="N43" s="92">
        <f>SUM(K43:M43)</f>
        <v>7.9487500000000012E-4</v>
      </c>
    </row>
    <row r="44" spans="1:14" s="9" customFormat="1" x14ac:dyDescent="0.2">
      <c r="A44" s="142">
        <v>131</v>
      </c>
      <c r="B44" s="147" t="s">
        <v>10</v>
      </c>
      <c r="C44" s="48">
        <v>14473314165</v>
      </c>
      <c r="D44" s="48"/>
      <c r="E44" s="97"/>
      <c r="F44" s="98"/>
      <c r="G44" s="98"/>
      <c r="H44" s="98">
        <v>3.3869999999999999E-5</v>
      </c>
      <c r="I44" s="98"/>
      <c r="J44" s="99"/>
      <c r="K44" s="145">
        <f>SUM(E44:I46)</f>
        <v>6.667489999999999E-4</v>
      </c>
      <c r="L44" s="98"/>
      <c r="M44" s="98"/>
      <c r="N44" s="149">
        <f>SUM(K44:M46)</f>
        <v>6.667489999999999E-4</v>
      </c>
    </row>
    <row r="45" spans="1:14" s="9" customFormat="1" x14ac:dyDescent="0.2">
      <c r="A45" s="143"/>
      <c r="B45" s="153"/>
      <c r="C45" s="16"/>
      <c r="D45" s="16">
        <f>C44+274899249</f>
        <v>14748213414</v>
      </c>
      <c r="E45" s="102"/>
      <c r="F45" s="103">
        <v>6.3266799999999997E-4</v>
      </c>
      <c r="G45" s="103"/>
      <c r="H45" s="103"/>
      <c r="I45" s="103">
        <v>2.11E-7</v>
      </c>
      <c r="J45" s="104" t="s">
        <v>131</v>
      </c>
      <c r="K45" s="154"/>
      <c r="L45" s="103"/>
      <c r="M45" s="103"/>
      <c r="N45" s="156"/>
    </row>
    <row r="46" spans="1:14" s="9" customFormat="1" x14ac:dyDescent="0.2">
      <c r="A46" s="144"/>
      <c r="B46" s="152"/>
      <c r="C46" s="50"/>
      <c r="D46" s="50">
        <f>C44+4371848</f>
        <v>14477686013</v>
      </c>
      <c r="E46" s="100"/>
      <c r="F46" s="83"/>
      <c r="G46" s="83"/>
      <c r="H46" s="83"/>
      <c r="I46" s="83"/>
      <c r="J46" s="85"/>
      <c r="K46" s="155"/>
      <c r="L46" s="83"/>
      <c r="M46" s="83"/>
      <c r="N46" s="157"/>
    </row>
    <row r="47" spans="1:14" s="9" customFormat="1" x14ac:dyDescent="0.2">
      <c r="A47" s="142">
        <v>132</v>
      </c>
      <c r="B47" s="147" t="s">
        <v>11</v>
      </c>
      <c r="C47" s="48">
        <v>5396226168</v>
      </c>
      <c r="D47" s="48"/>
      <c r="E47" s="86"/>
      <c r="F47" s="70"/>
      <c r="G47" s="70"/>
      <c r="H47" s="70">
        <v>5.5110000000000003E-6</v>
      </c>
      <c r="I47" s="70"/>
      <c r="J47" s="71"/>
      <c r="K47" s="145">
        <f>SUM(E47:I48)</f>
        <v>5.5110000000000003E-6</v>
      </c>
      <c r="L47" s="70"/>
      <c r="M47" s="70"/>
      <c r="N47" s="149">
        <f>SUM(K47:M48)</f>
        <v>5.5110000000000003E-6</v>
      </c>
    </row>
    <row r="48" spans="1:14" s="9" customFormat="1" x14ac:dyDescent="0.2">
      <c r="A48" s="151"/>
      <c r="B48" s="148"/>
      <c r="C48" s="50"/>
      <c r="D48" s="50">
        <f>C47+32898352</f>
        <v>5429124520</v>
      </c>
      <c r="E48" s="78"/>
      <c r="F48" s="79"/>
      <c r="G48" s="79"/>
      <c r="H48" s="79"/>
      <c r="I48" s="79"/>
      <c r="J48" s="80"/>
      <c r="K48" s="146"/>
      <c r="L48" s="79"/>
      <c r="M48" s="79"/>
      <c r="N48" s="150"/>
    </row>
    <row r="49" spans="1:18" s="9" customFormat="1" x14ac:dyDescent="0.2">
      <c r="A49" s="87">
        <v>133</v>
      </c>
      <c r="B49" s="93" t="s">
        <v>12</v>
      </c>
      <c r="C49" s="63">
        <v>601169965</v>
      </c>
      <c r="D49" s="63"/>
      <c r="E49" s="89"/>
      <c r="F49" s="90"/>
      <c r="G49" s="90"/>
      <c r="H49" s="90"/>
      <c r="I49" s="90">
        <v>9.4658399999999999E-4</v>
      </c>
      <c r="J49" s="91" t="s">
        <v>113</v>
      </c>
      <c r="K49" s="90">
        <f>SUM(E49:I49)</f>
        <v>9.4658399999999999E-4</v>
      </c>
      <c r="L49" s="90">
        <v>5.8387100000000002E-4</v>
      </c>
      <c r="M49" s="90"/>
      <c r="N49" s="92">
        <f>SUM(K49:M49)</f>
        <v>1.530455E-3</v>
      </c>
    </row>
    <row r="50" spans="1:18" s="9" customFormat="1" x14ac:dyDescent="0.2">
      <c r="A50" s="142">
        <v>134</v>
      </c>
      <c r="B50" s="147" t="s">
        <v>13</v>
      </c>
      <c r="C50" s="48">
        <v>4187199822</v>
      </c>
      <c r="D50" s="48"/>
      <c r="E50" s="86"/>
      <c r="F50" s="58"/>
      <c r="G50" s="70"/>
      <c r="H50" s="70">
        <v>1.6371E-5</v>
      </c>
      <c r="I50" s="70"/>
      <c r="J50" s="71"/>
      <c r="K50" s="145">
        <f>SUM(E50:I51)</f>
        <v>3.6990800000000001E-4</v>
      </c>
      <c r="L50" s="58"/>
      <c r="M50" s="58"/>
      <c r="N50" s="149">
        <f>SUM(K50:M51)</f>
        <v>8.1401400000000006E-4</v>
      </c>
    </row>
    <row r="51" spans="1:18" s="9" customFormat="1" x14ac:dyDescent="0.2">
      <c r="A51" s="151"/>
      <c r="B51" s="148"/>
      <c r="C51" s="50"/>
      <c r="D51" s="50">
        <f>C50+55641445</f>
        <v>4242841267</v>
      </c>
      <c r="E51" s="78"/>
      <c r="F51" s="79">
        <v>3.5353700000000001E-4</v>
      </c>
      <c r="G51" s="79"/>
      <c r="H51" s="79"/>
      <c r="I51" s="79"/>
      <c r="J51" s="80"/>
      <c r="K51" s="146"/>
      <c r="L51" s="79">
        <v>4.4410599999999999E-4</v>
      </c>
      <c r="M51" s="79"/>
      <c r="N51" s="150"/>
      <c r="R51" s="37"/>
    </row>
    <row r="52" spans="1:18" s="9" customFormat="1" x14ac:dyDescent="0.2">
      <c r="A52" s="142">
        <v>135</v>
      </c>
      <c r="B52" s="162" t="s">
        <v>14</v>
      </c>
      <c r="C52" s="48">
        <v>324281011</v>
      </c>
      <c r="D52" s="48"/>
      <c r="E52" s="86"/>
      <c r="F52" s="70"/>
      <c r="G52" s="70"/>
      <c r="H52" s="70"/>
      <c r="I52" s="70"/>
      <c r="J52" s="71"/>
      <c r="K52" s="145">
        <f>SUM(E52:I53)</f>
        <v>8.6124699999999999E-4</v>
      </c>
      <c r="L52" s="70"/>
      <c r="M52" s="70"/>
      <c r="N52" s="149">
        <f>SUM(K52:M53)</f>
        <v>2.7094520000000002E-3</v>
      </c>
    </row>
    <row r="53" spans="1:18" s="9" customFormat="1" x14ac:dyDescent="0.2">
      <c r="A53" s="144"/>
      <c r="B53" s="164"/>
      <c r="C53" s="50"/>
      <c r="D53" s="50">
        <f>C52+497836</f>
        <v>324778847</v>
      </c>
      <c r="E53" s="78"/>
      <c r="F53" s="79"/>
      <c r="G53" s="79"/>
      <c r="H53" s="79"/>
      <c r="I53" s="79">
        <f>0.000860613+0.000000634</f>
        <v>8.6124699999999999E-4</v>
      </c>
      <c r="J53" s="80" t="s">
        <v>219</v>
      </c>
      <c r="K53" s="155"/>
      <c r="L53" s="79">
        <v>5.2422700000000005E-4</v>
      </c>
      <c r="M53" s="79">
        <v>1.323978E-3</v>
      </c>
      <c r="N53" s="157"/>
    </row>
    <row r="54" spans="1:18" s="9" customFormat="1" x14ac:dyDescent="0.2">
      <c r="A54" s="87">
        <v>136</v>
      </c>
      <c r="B54" s="88" t="s">
        <v>57</v>
      </c>
      <c r="C54" s="63">
        <v>614284838</v>
      </c>
      <c r="D54" s="63"/>
      <c r="E54" s="89"/>
      <c r="F54" s="90"/>
      <c r="G54" s="90"/>
      <c r="H54" s="90"/>
      <c r="I54" s="90"/>
      <c r="J54" s="91"/>
      <c r="K54" s="90">
        <f>SUM(E54:I54)</f>
        <v>0</v>
      </c>
      <c r="L54" s="90">
        <v>9.9294000000000002E-5</v>
      </c>
      <c r="M54" s="90"/>
      <c r="N54" s="92">
        <f>SUM(K54:M54)</f>
        <v>9.9294000000000002E-5</v>
      </c>
    </row>
    <row r="55" spans="1:18" s="9" customFormat="1" x14ac:dyDescent="0.2">
      <c r="A55" s="87">
        <v>137</v>
      </c>
      <c r="B55" s="93" t="s">
        <v>15</v>
      </c>
      <c r="C55" s="63">
        <v>917523151</v>
      </c>
      <c r="D55" s="63"/>
      <c r="E55" s="89"/>
      <c r="F55" s="90">
        <v>4.3595599999999998E-4</v>
      </c>
      <c r="G55" s="90"/>
      <c r="H55" s="90">
        <v>7.7163999999999995E-5</v>
      </c>
      <c r="I55" s="90">
        <v>1E-3</v>
      </c>
      <c r="J55" s="91" t="s">
        <v>113</v>
      </c>
      <c r="K55" s="90">
        <f>SUM(E55:I55)</f>
        <v>1.51312E-3</v>
      </c>
      <c r="L55" s="90">
        <v>2.0774300000000001E-4</v>
      </c>
      <c r="M55" s="90"/>
      <c r="N55" s="92">
        <f>SUM(K55:M55)</f>
        <v>1.720863E-3</v>
      </c>
    </row>
    <row r="56" spans="1:18" s="9" customFormat="1" x14ac:dyDescent="0.2">
      <c r="A56" s="142">
        <v>139</v>
      </c>
      <c r="B56" s="147" t="s">
        <v>16</v>
      </c>
      <c r="C56" s="48">
        <v>9903624100</v>
      </c>
      <c r="D56" s="48"/>
      <c r="E56" s="86"/>
      <c r="F56" s="70"/>
      <c r="G56" s="70"/>
      <c r="H56" s="70">
        <v>9.7440000000000002E-6</v>
      </c>
      <c r="I56" s="70"/>
      <c r="J56" s="71"/>
      <c r="K56" s="145">
        <f>SUM(E56:I58)</f>
        <v>6.6288800000000004E-4</v>
      </c>
      <c r="L56" s="70"/>
      <c r="M56" s="70"/>
      <c r="N56" s="149">
        <f>SUM(K56:M58)</f>
        <v>1.749174E-3</v>
      </c>
    </row>
    <row r="57" spans="1:18" s="9" customFormat="1" x14ac:dyDescent="0.2">
      <c r="A57" s="143"/>
      <c r="B57" s="153"/>
      <c r="C57" s="16"/>
      <c r="D57" s="16">
        <f>C56+813771016</f>
        <v>10717395116</v>
      </c>
      <c r="E57" s="74"/>
      <c r="F57" s="75">
        <v>6.5314400000000003E-4</v>
      </c>
      <c r="G57" s="75"/>
      <c r="H57" s="75"/>
      <c r="I57" s="75"/>
      <c r="J57" s="76"/>
      <c r="K57" s="154"/>
      <c r="L57" s="75">
        <v>8.9967300000000003E-4</v>
      </c>
      <c r="M57" s="75">
        <v>1.86613E-4</v>
      </c>
      <c r="N57" s="156"/>
    </row>
    <row r="58" spans="1:18" s="9" customFormat="1" x14ac:dyDescent="0.2">
      <c r="A58" s="144"/>
      <c r="B58" s="152"/>
      <c r="C58" s="50"/>
      <c r="D58" s="50">
        <f>C56+9249902</f>
        <v>9912874002</v>
      </c>
      <c r="E58" s="78"/>
      <c r="F58" s="79"/>
      <c r="G58" s="79"/>
      <c r="H58" s="79"/>
      <c r="I58" s="79"/>
      <c r="J58" s="80"/>
      <c r="K58" s="155"/>
      <c r="L58" s="79"/>
      <c r="M58" s="79"/>
      <c r="N58" s="157"/>
    </row>
    <row r="59" spans="1:18" s="9" customFormat="1" x14ac:dyDescent="0.2">
      <c r="A59" s="87">
        <v>148</v>
      </c>
      <c r="B59" s="88" t="s">
        <v>58</v>
      </c>
      <c r="C59" s="63">
        <v>316812070</v>
      </c>
      <c r="D59" s="63"/>
      <c r="E59" s="89"/>
      <c r="F59" s="90">
        <v>1.132072E-3</v>
      </c>
      <c r="G59" s="90"/>
      <c r="H59" s="90">
        <v>4.8982E-5</v>
      </c>
      <c r="I59" s="90"/>
      <c r="J59" s="91"/>
      <c r="K59" s="90">
        <f>SUM(E59:I59)</f>
        <v>1.181054E-3</v>
      </c>
      <c r="L59" s="90"/>
      <c r="M59" s="90"/>
      <c r="N59" s="92">
        <f>SUM(K59:M59)</f>
        <v>1.181054E-3</v>
      </c>
    </row>
    <row r="60" spans="1:18" s="9" customFormat="1" x14ac:dyDescent="0.2">
      <c r="A60" s="87">
        <v>149</v>
      </c>
      <c r="B60" s="93" t="s">
        <v>17</v>
      </c>
      <c r="C60" s="63">
        <v>206405189</v>
      </c>
      <c r="D60" s="63"/>
      <c r="E60" s="89"/>
      <c r="F60" s="90">
        <v>1.3720679999999999E-3</v>
      </c>
      <c r="G60" s="90"/>
      <c r="H60" s="90"/>
      <c r="I60" s="90"/>
      <c r="J60" s="91"/>
      <c r="K60" s="90">
        <f>SUM(E60:I60)</f>
        <v>1.3720679999999999E-3</v>
      </c>
      <c r="L60" s="90"/>
      <c r="M60" s="90">
        <v>4.8448399999999998E-4</v>
      </c>
      <c r="N60" s="92">
        <f>SUM(K60:M60)</f>
        <v>1.856552E-3</v>
      </c>
    </row>
    <row r="61" spans="1:18" s="9" customFormat="1" x14ac:dyDescent="0.2">
      <c r="A61" s="87">
        <v>150</v>
      </c>
      <c r="B61" s="93" t="s">
        <v>59</v>
      </c>
      <c r="C61" s="63">
        <v>1499442671</v>
      </c>
      <c r="D61" s="63"/>
      <c r="E61" s="89"/>
      <c r="F61" s="90">
        <v>6.6224600000000002E-4</v>
      </c>
      <c r="G61" s="90"/>
      <c r="H61" s="90">
        <v>1.36E-7</v>
      </c>
      <c r="I61" s="90"/>
      <c r="J61" s="91"/>
      <c r="K61" s="90">
        <f>SUM(E61:I61)</f>
        <v>6.6238199999999999E-4</v>
      </c>
      <c r="L61" s="90">
        <v>1.2471300000000001E-4</v>
      </c>
      <c r="M61" s="90">
        <v>3.3212299999999998E-4</v>
      </c>
      <c r="N61" s="92">
        <f>SUM(K61:M61)</f>
        <v>1.1192179999999999E-3</v>
      </c>
    </row>
    <row r="62" spans="1:18" s="9" customFormat="1" x14ac:dyDescent="0.2">
      <c r="A62" s="142">
        <v>151</v>
      </c>
      <c r="B62" s="147" t="s">
        <v>60</v>
      </c>
      <c r="C62" s="48">
        <v>3266647511</v>
      </c>
      <c r="D62" s="58"/>
      <c r="E62" s="86"/>
      <c r="F62" s="58"/>
      <c r="G62" s="70"/>
      <c r="H62" s="70">
        <v>4.7260000000000002E-6</v>
      </c>
      <c r="I62" s="70"/>
      <c r="J62" s="71"/>
      <c r="K62" s="145">
        <f>SUM(E62:I63)</f>
        <v>5.1482900000000007E-4</v>
      </c>
      <c r="L62" s="70"/>
      <c r="M62" s="70"/>
      <c r="N62" s="149">
        <f>SUM(K62:M63)</f>
        <v>1.354137E-3</v>
      </c>
    </row>
    <row r="63" spans="1:18" s="9" customFormat="1" x14ac:dyDescent="0.2">
      <c r="A63" s="151"/>
      <c r="B63" s="148"/>
      <c r="C63" s="50"/>
      <c r="D63" s="50">
        <f>C62+307724900</f>
        <v>3574372411</v>
      </c>
      <c r="E63" s="78"/>
      <c r="F63" s="79">
        <v>5.1010300000000003E-4</v>
      </c>
      <c r="G63" s="79"/>
      <c r="H63" s="79"/>
      <c r="I63" s="79"/>
      <c r="J63" s="80"/>
      <c r="K63" s="146"/>
      <c r="L63" s="79"/>
      <c r="M63" s="79">
        <v>8.3930799999999998E-4</v>
      </c>
      <c r="N63" s="150"/>
      <c r="P63" s="2"/>
    </row>
    <row r="64" spans="1:18" s="9" customFormat="1" ht="13.5" customHeight="1" x14ac:dyDescent="0.2">
      <c r="A64" s="87">
        <v>161</v>
      </c>
      <c r="B64" s="93" t="s">
        <v>61</v>
      </c>
      <c r="C64" s="63">
        <v>194789476</v>
      </c>
      <c r="D64" s="63"/>
      <c r="E64" s="89"/>
      <c r="F64" s="90">
        <v>1.0074260000000001E-3</v>
      </c>
      <c r="G64" s="90"/>
      <c r="H64" s="90">
        <v>1.6833999999999998E-5</v>
      </c>
      <c r="I64" s="90"/>
      <c r="J64" s="91"/>
      <c r="K64" s="90">
        <f t="shared" ref="K64:K69" si="0">SUM(E64:I64)</f>
        <v>1.0242600000000001E-3</v>
      </c>
      <c r="L64" s="90"/>
      <c r="M64" s="90"/>
      <c r="N64" s="92">
        <f t="shared" ref="N64:N69" si="1">SUM(K64:M64)</f>
        <v>1.0242600000000001E-3</v>
      </c>
    </row>
    <row r="65" spans="1:18" s="9" customFormat="1" x14ac:dyDescent="0.2">
      <c r="A65" s="87">
        <v>171</v>
      </c>
      <c r="B65" s="93" t="s">
        <v>62</v>
      </c>
      <c r="C65" s="63">
        <v>1078954422</v>
      </c>
      <c r="D65" s="63"/>
      <c r="E65" s="89"/>
      <c r="F65" s="90">
        <v>1.8914590000000001E-3</v>
      </c>
      <c r="G65" s="90"/>
      <c r="H65" s="90">
        <v>5.7219999999999996E-6</v>
      </c>
      <c r="I65" s="90"/>
      <c r="J65" s="91"/>
      <c r="K65" s="90">
        <f t="shared" si="0"/>
        <v>1.8971810000000002E-3</v>
      </c>
      <c r="L65" s="90"/>
      <c r="M65" s="90"/>
      <c r="N65" s="92">
        <f t="shared" si="1"/>
        <v>1.8971810000000002E-3</v>
      </c>
    </row>
    <row r="66" spans="1:18" s="9" customFormat="1" x14ac:dyDescent="0.2">
      <c r="A66" s="87">
        <v>181</v>
      </c>
      <c r="B66" s="93" t="s">
        <v>63</v>
      </c>
      <c r="C66" s="63">
        <v>980263741</v>
      </c>
      <c r="D66" s="63"/>
      <c r="E66" s="89"/>
      <c r="F66" s="90">
        <v>5.3009900000000002E-4</v>
      </c>
      <c r="G66" s="90"/>
      <c r="H66" s="90">
        <v>7.6799999999999993E-6</v>
      </c>
      <c r="I66" s="90"/>
      <c r="J66" s="91"/>
      <c r="K66" s="90">
        <f t="shared" si="0"/>
        <v>5.3777900000000006E-4</v>
      </c>
      <c r="L66" s="90"/>
      <c r="M66" s="90">
        <v>5.1007000000000001E-5</v>
      </c>
      <c r="N66" s="92">
        <f t="shared" si="1"/>
        <v>5.8878600000000011E-4</v>
      </c>
    </row>
    <row r="67" spans="1:18" s="9" customFormat="1" x14ac:dyDescent="0.2">
      <c r="A67" s="87">
        <v>182</v>
      </c>
      <c r="B67" s="93" t="s">
        <v>64</v>
      </c>
      <c r="C67" s="63">
        <v>311185650</v>
      </c>
      <c r="D67" s="63"/>
      <c r="E67" s="89"/>
      <c r="F67" s="90"/>
      <c r="G67" s="90"/>
      <c r="H67" s="90">
        <v>3.7051999999999997E-5</v>
      </c>
      <c r="I67" s="90"/>
      <c r="J67" s="91"/>
      <c r="K67" s="90">
        <f t="shared" si="0"/>
        <v>3.7051999999999997E-5</v>
      </c>
      <c r="L67" s="90"/>
      <c r="M67" s="90">
        <v>3.9739899999999999E-4</v>
      </c>
      <c r="N67" s="92">
        <f t="shared" si="1"/>
        <v>4.3445099999999998E-4</v>
      </c>
    </row>
    <row r="68" spans="1:18" s="9" customFormat="1" x14ac:dyDescent="0.2">
      <c r="A68" s="87">
        <v>191</v>
      </c>
      <c r="B68" s="93" t="s">
        <v>65</v>
      </c>
      <c r="C68" s="63">
        <v>26101859</v>
      </c>
      <c r="D68" s="63"/>
      <c r="E68" s="89"/>
      <c r="F68" s="90"/>
      <c r="G68" s="90"/>
      <c r="H68" s="90">
        <v>1.0083599999999999E-4</v>
      </c>
      <c r="I68" s="90"/>
      <c r="J68" s="91"/>
      <c r="K68" s="90">
        <f t="shared" si="0"/>
        <v>1.0083599999999999E-4</v>
      </c>
      <c r="L68" s="90"/>
      <c r="M68" s="90"/>
      <c r="N68" s="92">
        <f t="shared" si="1"/>
        <v>1.0083599999999999E-4</v>
      </c>
    </row>
    <row r="69" spans="1:18" s="9" customFormat="1" x14ac:dyDescent="0.2">
      <c r="A69" s="87">
        <v>192</v>
      </c>
      <c r="B69" s="93" t="s">
        <v>66</v>
      </c>
      <c r="C69" s="63">
        <v>554722958</v>
      </c>
      <c r="D69" s="63"/>
      <c r="E69" s="89"/>
      <c r="F69" s="90">
        <v>2.97702E-4</v>
      </c>
      <c r="G69" s="90"/>
      <c r="H69" s="90">
        <v>9.0064999999999999E-5</v>
      </c>
      <c r="I69" s="90"/>
      <c r="J69" s="91"/>
      <c r="K69" s="90">
        <f t="shared" si="0"/>
        <v>3.8776700000000002E-4</v>
      </c>
      <c r="L69" s="90"/>
      <c r="M69" s="90"/>
      <c r="N69" s="92">
        <f t="shared" si="1"/>
        <v>3.8776700000000002E-4</v>
      </c>
    </row>
    <row r="70" spans="1:18" s="9" customFormat="1" x14ac:dyDescent="0.2">
      <c r="A70" s="142">
        <v>193</v>
      </c>
      <c r="B70" s="147" t="s">
        <v>18</v>
      </c>
      <c r="C70" s="48">
        <v>2952809818</v>
      </c>
      <c r="D70" s="48"/>
      <c r="E70" s="86"/>
      <c r="F70" s="70"/>
      <c r="G70" s="70"/>
      <c r="H70" s="70">
        <v>5.5459999999999999E-6</v>
      </c>
      <c r="I70" s="70"/>
      <c r="J70" s="71"/>
      <c r="K70" s="145">
        <f>SUM(E70:I71)</f>
        <v>2.6018699999999999E-4</v>
      </c>
      <c r="L70" s="70"/>
      <c r="M70" s="70"/>
      <c r="N70" s="149">
        <f>SUM(K70:M71)</f>
        <v>2.6018699999999999E-4</v>
      </c>
    </row>
    <row r="71" spans="1:18" s="9" customFormat="1" x14ac:dyDescent="0.2">
      <c r="A71" s="151"/>
      <c r="B71" s="148"/>
      <c r="C71" s="50"/>
      <c r="D71" s="50">
        <f>C70+72064993</f>
        <v>3024874811</v>
      </c>
      <c r="E71" s="105"/>
      <c r="F71" s="79">
        <v>2.54641E-4</v>
      </c>
      <c r="G71" s="79"/>
      <c r="H71" s="79"/>
      <c r="I71" s="79"/>
      <c r="J71" s="80"/>
      <c r="K71" s="146"/>
      <c r="L71" s="79"/>
      <c r="M71" s="79"/>
      <c r="N71" s="150"/>
    </row>
    <row r="72" spans="1:18" s="9" customFormat="1" x14ac:dyDescent="0.2">
      <c r="A72" s="106">
        <v>201</v>
      </c>
      <c r="B72" s="107" t="s">
        <v>67</v>
      </c>
      <c r="C72" s="48">
        <v>1262724808</v>
      </c>
      <c r="D72" s="48"/>
      <c r="E72" s="86"/>
      <c r="F72" s="70"/>
      <c r="G72" s="70"/>
      <c r="H72" s="70">
        <v>3.8235999999999998E-5</v>
      </c>
      <c r="I72" s="70"/>
      <c r="J72" s="71"/>
      <c r="K72" s="70">
        <f>SUM(E72:I72)</f>
        <v>3.8235999999999998E-5</v>
      </c>
      <c r="L72" s="70"/>
      <c r="M72" s="70">
        <v>4.7191600000000001E-4</v>
      </c>
      <c r="N72" s="108">
        <f>SUM(K72:M72)</f>
        <v>5.1015200000000004E-4</v>
      </c>
    </row>
    <row r="73" spans="1:18" s="9" customFormat="1" x14ac:dyDescent="0.2">
      <c r="A73" s="68">
        <v>202</v>
      </c>
      <c r="B73" s="69" t="s">
        <v>68</v>
      </c>
      <c r="C73" s="50">
        <v>366286511</v>
      </c>
      <c r="D73" s="50"/>
      <c r="E73" s="78"/>
      <c r="F73" s="79"/>
      <c r="G73" s="79"/>
      <c r="H73" s="79">
        <v>1.4600600000000001E-4</v>
      </c>
      <c r="I73" s="79"/>
      <c r="J73" s="80"/>
      <c r="K73" s="79">
        <f>SUM(E73:I73)</f>
        <v>1.4600600000000001E-4</v>
      </c>
      <c r="L73" s="79"/>
      <c r="M73" s="79"/>
      <c r="N73" s="109">
        <f>SUM(K73:M73)</f>
        <v>1.4600600000000001E-4</v>
      </c>
    </row>
    <row r="74" spans="1:18" s="9" customFormat="1" x14ac:dyDescent="0.2">
      <c r="A74" s="142">
        <v>215</v>
      </c>
      <c r="B74" s="162" t="s">
        <v>69</v>
      </c>
      <c r="C74" s="48">
        <v>4161113014</v>
      </c>
      <c r="D74" s="48"/>
      <c r="E74" s="86"/>
      <c r="F74" s="70"/>
      <c r="G74" s="70"/>
      <c r="H74" s="70">
        <v>8.9849999999999995E-6</v>
      </c>
      <c r="I74" s="70"/>
      <c r="J74" s="71"/>
      <c r="K74" s="171">
        <f>SUM(E74:I76)</f>
        <v>8.8041999999999995E-5</v>
      </c>
      <c r="L74" s="58"/>
      <c r="M74" s="58"/>
      <c r="N74" s="165">
        <f>SUM(K74:M76)</f>
        <v>2.55966E-4</v>
      </c>
      <c r="R74" s="22"/>
    </row>
    <row r="75" spans="1:18" s="9" customFormat="1" x14ac:dyDescent="0.2">
      <c r="A75" s="143"/>
      <c r="B75" s="163"/>
      <c r="C75" s="16"/>
      <c r="D75" s="16">
        <f>C74+7433747</f>
        <v>4168546761</v>
      </c>
      <c r="E75" s="74"/>
      <c r="F75" s="19">
        <v>7.9056999999999999E-5</v>
      </c>
      <c r="G75" s="75"/>
      <c r="H75" s="75"/>
      <c r="I75" s="75"/>
      <c r="J75" s="76"/>
      <c r="K75" s="184"/>
      <c r="L75" s="75"/>
      <c r="M75" s="75">
        <v>1.6792399999999999E-4</v>
      </c>
      <c r="N75" s="177"/>
    </row>
    <row r="76" spans="1:18" s="9" customFormat="1" x14ac:dyDescent="0.2">
      <c r="A76" s="144"/>
      <c r="B76" s="164"/>
      <c r="C76" s="50"/>
      <c r="D76" s="50">
        <f>C74+1962642</f>
        <v>4163075656</v>
      </c>
      <c r="E76" s="78"/>
      <c r="F76" s="79"/>
      <c r="G76" s="79"/>
      <c r="H76" s="79"/>
      <c r="I76" s="79"/>
      <c r="J76" s="80"/>
      <c r="K76" s="173"/>
      <c r="L76" s="79"/>
      <c r="M76" s="79"/>
      <c r="N76" s="168"/>
    </row>
    <row r="77" spans="1:18" s="9" customFormat="1" x14ac:dyDescent="0.2">
      <c r="A77" s="87">
        <v>221</v>
      </c>
      <c r="B77" s="88" t="s">
        <v>70</v>
      </c>
      <c r="C77" s="63">
        <v>3067881660</v>
      </c>
      <c r="D77" s="63"/>
      <c r="E77" s="89"/>
      <c r="F77" s="65"/>
      <c r="G77" s="90"/>
      <c r="H77" s="90">
        <v>1.4677E-5</v>
      </c>
      <c r="I77" s="90"/>
      <c r="J77" s="91"/>
      <c r="K77" s="90">
        <f t="shared" ref="K77:K82" si="2">SUM(E77:I77)</f>
        <v>1.4677E-5</v>
      </c>
      <c r="L77" s="90"/>
      <c r="M77" s="90"/>
      <c r="N77" s="92">
        <f t="shared" ref="N77:N82" si="3">SUM(K77:M77)</f>
        <v>1.4677E-5</v>
      </c>
      <c r="R77" s="17"/>
    </row>
    <row r="78" spans="1:18" s="9" customFormat="1" x14ac:dyDescent="0.2">
      <c r="A78" s="87">
        <v>231</v>
      </c>
      <c r="B78" s="93" t="s">
        <v>71</v>
      </c>
      <c r="C78" s="63">
        <v>943008263</v>
      </c>
      <c r="D78" s="63"/>
      <c r="E78" s="89"/>
      <c r="F78" s="90">
        <v>1.4901700000000001E-4</v>
      </c>
      <c r="G78" s="90"/>
      <c r="H78" s="90">
        <v>1.9640000000000002E-6</v>
      </c>
      <c r="I78" s="90"/>
      <c r="J78" s="91"/>
      <c r="K78" s="90">
        <f t="shared" si="2"/>
        <v>1.5098100000000001E-4</v>
      </c>
      <c r="L78" s="90"/>
      <c r="M78" s="90">
        <v>1.0074140000000001E-3</v>
      </c>
      <c r="N78" s="92">
        <f t="shared" si="3"/>
        <v>1.158395E-3</v>
      </c>
    </row>
    <row r="79" spans="1:18" s="9" customFormat="1" x14ac:dyDescent="0.2">
      <c r="A79" s="87">
        <v>232</v>
      </c>
      <c r="B79" s="93" t="s">
        <v>19</v>
      </c>
      <c r="C79" s="63">
        <v>703094288</v>
      </c>
      <c r="D79" s="63"/>
      <c r="E79" s="89"/>
      <c r="F79" s="90">
        <v>8.5337100000000001E-4</v>
      </c>
      <c r="G79" s="90"/>
      <c r="H79" s="90"/>
      <c r="I79" s="90"/>
      <c r="J79" s="91"/>
      <c r="K79" s="90">
        <f t="shared" si="2"/>
        <v>8.5337100000000001E-4</v>
      </c>
      <c r="L79" s="90">
        <v>3.8974999999999999E-5</v>
      </c>
      <c r="M79" s="90"/>
      <c r="N79" s="92">
        <f t="shared" si="3"/>
        <v>8.9234600000000002E-4</v>
      </c>
    </row>
    <row r="80" spans="1:18" s="9" customFormat="1" x14ac:dyDescent="0.2">
      <c r="A80" s="87">
        <v>233</v>
      </c>
      <c r="B80" s="93" t="s">
        <v>72</v>
      </c>
      <c r="C80" s="63">
        <v>423876184</v>
      </c>
      <c r="D80" s="63"/>
      <c r="E80" s="89"/>
      <c r="F80" s="90"/>
      <c r="G80" s="90"/>
      <c r="H80" s="90">
        <v>2.262E-5</v>
      </c>
      <c r="I80" s="90"/>
      <c r="J80" s="91"/>
      <c r="K80" s="90">
        <f t="shared" si="2"/>
        <v>2.262E-5</v>
      </c>
      <c r="L80" s="90"/>
      <c r="M80" s="90">
        <v>5.3212500000000005E-4</v>
      </c>
      <c r="N80" s="92">
        <f t="shared" si="3"/>
        <v>5.5474500000000004E-4</v>
      </c>
    </row>
    <row r="81" spans="1:14" s="9" customFormat="1" x14ac:dyDescent="0.2">
      <c r="A81" s="87">
        <v>234</v>
      </c>
      <c r="B81" s="93" t="s">
        <v>73</v>
      </c>
      <c r="C81" s="63">
        <v>187715321</v>
      </c>
      <c r="D81" s="63"/>
      <c r="E81" s="89"/>
      <c r="F81" s="90"/>
      <c r="G81" s="90"/>
      <c r="H81" s="90">
        <v>5.0651E-5</v>
      </c>
      <c r="I81" s="90"/>
      <c r="J81" s="91"/>
      <c r="K81" s="90">
        <f t="shared" si="2"/>
        <v>5.0651E-5</v>
      </c>
      <c r="L81" s="90">
        <v>1.13528E-4</v>
      </c>
      <c r="M81" s="90">
        <v>2.6636100000000001E-4</v>
      </c>
      <c r="N81" s="92">
        <f t="shared" si="3"/>
        <v>4.3053999999999998E-4</v>
      </c>
    </row>
    <row r="82" spans="1:14" s="9" customFormat="1" x14ac:dyDescent="0.2">
      <c r="A82" s="87">
        <v>242</v>
      </c>
      <c r="B82" s="93" t="s">
        <v>74</v>
      </c>
      <c r="C82" s="63">
        <v>294878791</v>
      </c>
      <c r="D82" s="63"/>
      <c r="E82" s="89"/>
      <c r="F82" s="90"/>
      <c r="G82" s="90"/>
      <c r="H82" s="90">
        <v>8.4133000000000002E-5</v>
      </c>
      <c r="I82" s="90"/>
      <c r="J82" s="91"/>
      <c r="K82" s="90">
        <f t="shared" si="2"/>
        <v>8.4133000000000002E-5</v>
      </c>
      <c r="L82" s="90"/>
      <c r="M82" s="90"/>
      <c r="N82" s="92">
        <f t="shared" si="3"/>
        <v>8.4133000000000002E-5</v>
      </c>
    </row>
    <row r="83" spans="1:14" s="9" customFormat="1" x14ac:dyDescent="0.2">
      <c r="A83" s="142">
        <v>243</v>
      </c>
      <c r="B83" s="147" t="s">
        <v>109</v>
      </c>
      <c r="C83" s="48">
        <v>297903276</v>
      </c>
      <c r="D83" s="58"/>
      <c r="E83" s="86"/>
      <c r="F83" s="58"/>
      <c r="G83" s="70"/>
      <c r="H83" s="70"/>
      <c r="I83" s="70"/>
      <c r="J83" s="71"/>
      <c r="K83" s="145">
        <f>SUM(E83:I84)</f>
        <v>1.359177E-3</v>
      </c>
      <c r="L83" s="70"/>
      <c r="M83" s="70"/>
      <c r="N83" s="149">
        <f>SUM(K83:M84)</f>
        <v>1.359177E-3</v>
      </c>
    </row>
    <row r="84" spans="1:14" s="9" customFormat="1" x14ac:dyDescent="0.2">
      <c r="A84" s="151"/>
      <c r="B84" s="148"/>
      <c r="C84" s="50"/>
      <c r="D84" s="50">
        <f>C83+11395762</f>
        <v>309299038</v>
      </c>
      <c r="E84" s="78"/>
      <c r="F84" s="79">
        <v>1.359177E-3</v>
      </c>
      <c r="G84" s="79"/>
      <c r="H84" s="79"/>
      <c r="I84" s="79"/>
      <c r="J84" s="80"/>
      <c r="K84" s="146"/>
      <c r="L84" s="79"/>
      <c r="M84" s="79"/>
      <c r="N84" s="150"/>
    </row>
    <row r="85" spans="1:14" s="9" customFormat="1" x14ac:dyDescent="0.2">
      <c r="A85" s="87">
        <v>244</v>
      </c>
      <c r="B85" s="93" t="s">
        <v>110</v>
      </c>
      <c r="C85" s="63">
        <v>1652917515</v>
      </c>
      <c r="D85" s="63"/>
      <c r="E85" s="89"/>
      <c r="F85" s="90">
        <v>1.421664E-3</v>
      </c>
      <c r="G85" s="90"/>
      <c r="H85" s="90">
        <v>2.6528000000000001E-5</v>
      </c>
      <c r="I85" s="90">
        <v>5.0000000000000001E-9</v>
      </c>
      <c r="J85" s="91" t="s">
        <v>131</v>
      </c>
      <c r="K85" s="90">
        <f>SUM(E85:I85)</f>
        <v>1.448197E-3</v>
      </c>
      <c r="L85" s="90"/>
      <c r="M85" s="90"/>
      <c r="N85" s="92">
        <f>SUM(K85:M85)</f>
        <v>1.448197E-3</v>
      </c>
    </row>
    <row r="86" spans="1:14" s="9" customFormat="1" x14ac:dyDescent="0.2">
      <c r="A86" s="158">
        <v>251</v>
      </c>
      <c r="B86" s="160" t="s">
        <v>116</v>
      </c>
      <c r="C86" s="48">
        <v>3224988214</v>
      </c>
      <c r="D86" s="48"/>
      <c r="E86" s="86"/>
      <c r="F86" s="70"/>
      <c r="G86" s="70"/>
      <c r="H86" s="70"/>
      <c r="I86" s="70"/>
      <c r="J86" s="71"/>
      <c r="K86" s="171">
        <f>SUM(E86:I87)</f>
        <v>0</v>
      </c>
      <c r="L86" s="70"/>
      <c r="M86" s="70"/>
      <c r="N86" s="165">
        <f>SUM(K86:M87)</f>
        <v>1.418576E-3</v>
      </c>
    </row>
    <row r="87" spans="1:14" s="9" customFormat="1" x14ac:dyDescent="0.2">
      <c r="A87" s="159"/>
      <c r="B87" s="161"/>
      <c r="C87" s="50"/>
      <c r="D87" s="50">
        <f>C86+76323363</f>
        <v>3301311577</v>
      </c>
      <c r="E87" s="78"/>
      <c r="F87" s="79"/>
      <c r="G87" s="79"/>
      <c r="H87" s="79"/>
      <c r="I87" s="79"/>
      <c r="J87" s="80"/>
      <c r="K87" s="174"/>
      <c r="L87" s="79">
        <f>0.000060179+0.000450705+0.000457046+0.000450646</f>
        <v>1.418576E-3</v>
      </c>
      <c r="M87" s="79"/>
      <c r="N87" s="166"/>
    </row>
    <row r="88" spans="1:14" s="9" customFormat="1" x14ac:dyDescent="0.2">
      <c r="A88" s="87">
        <v>252</v>
      </c>
      <c r="B88" s="93" t="s">
        <v>75</v>
      </c>
      <c r="C88" s="63">
        <v>415621404</v>
      </c>
      <c r="D88" s="63"/>
      <c r="E88" s="89"/>
      <c r="F88" s="90">
        <v>6.9775000000000002E-4</v>
      </c>
      <c r="G88" s="90"/>
      <c r="H88" s="90">
        <v>1.6775000000000001E-5</v>
      </c>
      <c r="I88" s="90"/>
      <c r="J88" s="91"/>
      <c r="K88" s="90">
        <f>SUM(E88:I88)</f>
        <v>7.1452500000000003E-4</v>
      </c>
      <c r="L88" s="90">
        <v>6.3998000000000006E-5</v>
      </c>
      <c r="M88" s="90"/>
      <c r="N88" s="92">
        <f>SUM(K88:M88)</f>
        <v>7.7852300000000004E-4</v>
      </c>
    </row>
    <row r="89" spans="1:14" s="9" customFormat="1" x14ac:dyDescent="0.2">
      <c r="A89" s="87">
        <v>253</v>
      </c>
      <c r="B89" s="93" t="s">
        <v>20</v>
      </c>
      <c r="C89" s="63">
        <v>337094992</v>
      </c>
      <c r="D89" s="63"/>
      <c r="E89" s="89"/>
      <c r="F89" s="90">
        <v>9.8863199999999992E-4</v>
      </c>
      <c r="G89" s="90"/>
      <c r="H89" s="90">
        <v>2.162E-5</v>
      </c>
      <c r="I89" s="90"/>
      <c r="J89" s="91"/>
      <c r="K89" s="90">
        <f>SUM(E89:I89)</f>
        <v>1.0102519999999999E-3</v>
      </c>
      <c r="L89" s="90"/>
      <c r="M89" s="90"/>
      <c r="N89" s="92">
        <f>SUM(K89:M89)</f>
        <v>1.0102519999999999E-3</v>
      </c>
    </row>
    <row r="90" spans="1:14" s="9" customFormat="1" x14ac:dyDescent="0.2">
      <c r="A90" s="142">
        <v>261</v>
      </c>
      <c r="B90" s="175" t="s">
        <v>76</v>
      </c>
      <c r="C90" s="48">
        <v>2550411897</v>
      </c>
      <c r="D90" s="48"/>
      <c r="E90" s="86"/>
      <c r="F90" s="70"/>
      <c r="G90" s="70"/>
      <c r="H90" s="70"/>
      <c r="I90" s="70"/>
      <c r="J90" s="71"/>
      <c r="K90" s="145">
        <f>SUM(E90:I92)</f>
        <v>4.6130800000000001E-4</v>
      </c>
      <c r="L90" s="70"/>
      <c r="M90" s="58"/>
      <c r="N90" s="149">
        <f>SUM(K90:M92)</f>
        <v>2.0449520000000001E-3</v>
      </c>
    </row>
    <row r="91" spans="1:14" s="9" customFormat="1" x14ac:dyDescent="0.2">
      <c r="A91" s="143"/>
      <c r="B91" s="176"/>
      <c r="C91" s="16"/>
      <c r="D91" s="16">
        <f>C90+119577388</f>
        <v>2669989285</v>
      </c>
      <c r="E91" s="74"/>
      <c r="F91" s="75">
        <v>4.6130800000000001E-4</v>
      </c>
      <c r="G91" s="75"/>
      <c r="H91" s="75"/>
      <c r="I91" s="75"/>
      <c r="J91" s="76"/>
      <c r="K91" s="154"/>
      <c r="L91" s="75">
        <f>0.000220692+0.000095551+0.000383052+0.000287615</f>
        <v>9.8690999999999991E-4</v>
      </c>
      <c r="M91" s="2">
        <v>2.6217299999999999E-4</v>
      </c>
      <c r="N91" s="156"/>
    </row>
    <row r="92" spans="1:14" s="9" customFormat="1" x14ac:dyDescent="0.2">
      <c r="A92" s="144"/>
      <c r="B92" s="152"/>
      <c r="C92" s="50"/>
      <c r="D92" s="50">
        <f>C90+119577388</f>
        <v>2669989285</v>
      </c>
      <c r="E92" s="78"/>
      <c r="F92" s="79"/>
      <c r="G92" s="79"/>
      <c r="H92" s="79"/>
      <c r="I92" s="79"/>
      <c r="J92" s="80"/>
      <c r="K92" s="155"/>
      <c r="L92" s="79">
        <v>3.3456099999999998E-4</v>
      </c>
      <c r="M92" s="110"/>
      <c r="N92" s="157"/>
    </row>
    <row r="93" spans="1:14" s="9" customFormat="1" x14ac:dyDescent="0.2">
      <c r="A93" s="87">
        <v>262</v>
      </c>
      <c r="B93" s="93" t="s">
        <v>21</v>
      </c>
      <c r="C93" s="63">
        <v>407061659</v>
      </c>
      <c r="D93" s="63"/>
      <c r="E93" s="89"/>
      <c r="F93" s="90">
        <v>7.4868000000000002E-5</v>
      </c>
      <c r="G93" s="90"/>
      <c r="H93" s="90">
        <v>1.9539999999999999E-5</v>
      </c>
      <c r="I93" s="90">
        <v>7.2077999999999997E-5</v>
      </c>
      <c r="J93" s="91" t="s">
        <v>131</v>
      </c>
      <c r="K93" s="90">
        <f>SUM(E93:I93)</f>
        <v>1.66486E-4</v>
      </c>
      <c r="L93" s="90"/>
      <c r="M93" s="90">
        <v>7.3698899999999996E-4</v>
      </c>
      <c r="N93" s="92">
        <f>SUM(K93:M93)</f>
        <v>9.0347499999999994E-4</v>
      </c>
    </row>
    <row r="94" spans="1:14" s="9" customFormat="1" x14ac:dyDescent="0.2">
      <c r="A94" s="142">
        <v>271</v>
      </c>
      <c r="B94" s="147" t="s">
        <v>77</v>
      </c>
      <c r="C94" s="48">
        <v>25517496979</v>
      </c>
      <c r="D94" s="58"/>
      <c r="E94" s="86"/>
      <c r="F94" s="58"/>
      <c r="G94" s="70"/>
      <c r="H94" s="70">
        <v>8.0870000000000007E-6</v>
      </c>
      <c r="I94" s="70"/>
      <c r="J94" s="71"/>
      <c r="K94" s="145">
        <f>SUM(E94:I95)</f>
        <v>8.4121300000000005E-4</v>
      </c>
      <c r="L94" s="70"/>
      <c r="M94" s="70"/>
      <c r="N94" s="149">
        <f>SUM(K94:M95)</f>
        <v>8.4121300000000005E-4</v>
      </c>
    </row>
    <row r="95" spans="1:14" s="9" customFormat="1" x14ac:dyDescent="0.2">
      <c r="A95" s="151"/>
      <c r="B95" s="148"/>
      <c r="C95" s="50"/>
      <c r="D95" s="50">
        <f>C94+889060166</f>
        <v>26406557145</v>
      </c>
      <c r="E95" s="78"/>
      <c r="F95" s="79">
        <v>8.3312600000000001E-4</v>
      </c>
      <c r="G95" s="79"/>
      <c r="H95" s="79"/>
      <c r="I95" s="79"/>
      <c r="J95" s="80"/>
      <c r="K95" s="146"/>
      <c r="L95" s="79"/>
      <c r="M95" s="79"/>
      <c r="N95" s="150"/>
    </row>
    <row r="96" spans="1:14" s="9" customFormat="1" x14ac:dyDescent="0.2">
      <c r="A96" s="142">
        <v>272</v>
      </c>
      <c r="B96" s="147" t="s">
        <v>107</v>
      </c>
      <c r="C96" s="48">
        <v>8944310633</v>
      </c>
      <c r="D96" s="58"/>
      <c r="E96" s="86"/>
      <c r="F96" s="58"/>
      <c r="G96" s="70"/>
      <c r="H96" s="70">
        <v>1.1922999999999999E-5</v>
      </c>
      <c r="I96" s="70"/>
      <c r="J96" s="71"/>
      <c r="K96" s="145">
        <f>SUM(E96:I98)</f>
        <v>7.9456099999999994E-4</v>
      </c>
      <c r="L96" s="70"/>
      <c r="M96" s="70"/>
      <c r="N96" s="149">
        <f>SUM(K96:M98)</f>
        <v>9.2014399999999991E-4</v>
      </c>
    </row>
    <row r="97" spans="1:14" s="9" customFormat="1" x14ac:dyDescent="0.2">
      <c r="A97" s="143"/>
      <c r="B97" s="153"/>
      <c r="C97" s="16"/>
      <c r="D97" s="16">
        <f>C96+185294678</f>
        <v>9129605311</v>
      </c>
      <c r="E97" s="74"/>
      <c r="F97" s="75">
        <v>7.82638E-4</v>
      </c>
      <c r="G97" s="75"/>
      <c r="H97" s="75"/>
      <c r="I97" s="75"/>
      <c r="J97" s="76"/>
      <c r="K97" s="154"/>
      <c r="L97" s="75"/>
      <c r="M97" s="75">
        <v>1.2558299999999999E-4</v>
      </c>
      <c r="N97" s="156"/>
    </row>
    <row r="98" spans="1:14" s="9" customFormat="1" x14ac:dyDescent="0.2">
      <c r="A98" s="144"/>
      <c r="B98" s="152"/>
      <c r="C98" s="50"/>
      <c r="D98" s="50"/>
      <c r="E98" s="78"/>
      <c r="F98" s="84"/>
      <c r="G98" s="79"/>
      <c r="H98" s="79"/>
      <c r="I98" s="79"/>
      <c r="J98" s="80"/>
      <c r="K98" s="155"/>
      <c r="L98" s="79"/>
      <c r="M98" s="79"/>
      <c r="N98" s="157"/>
    </row>
    <row r="99" spans="1:14" s="9" customFormat="1" x14ac:dyDescent="0.2">
      <c r="A99" s="142">
        <v>273</v>
      </c>
      <c r="B99" s="147" t="s">
        <v>22</v>
      </c>
      <c r="C99" s="48">
        <v>9334975550</v>
      </c>
      <c r="D99" s="58"/>
      <c r="E99" s="86"/>
      <c r="F99" s="58"/>
      <c r="G99" s="70"/>
      <c r="H99" s="70">
        <v>1.1559999999999999E-5</v>
      </c>
      <c r="I99" s="70"/>
      <c r="J99" s="71"/>
      <c r="K99" s="145">
        <f>SUM(E99:I100)</f>
        <v>4.5841499999999999E-4</v>
      </c>
      <c r="L99" s="70"/>
      <c r="M99" s="70"/>
      <c r="N99" s="149">
        <f>SUM(K99:M100)</f>
        <v>4.5841499999999999E-4</v>
      </c>
    </row>
    <row r="100" spans="1:14" s="9" customFormat="1" x14ac:dyDescent="0.2">
      <c r="A100" s="151"/>
      <c r="B100" s="148"/>
      <c r="C100" s="50"/>
      <c r="D100" s="50">
        <f>C99+377887978</f>
        <v>9712863528</v>
      </c>
      <c r="E100" s="78"/>
      <c r="F100" s="79">
        <v>4.4685500000000002E-4</v>
      </c>
      <c r="G100" s="79"/>
      <c r="H100" s="79"/>
      <c r="I100" s="79"/>
      <c r="J100" s="80"/>
      <c r="K100" s="146"/>
      <c r="L100" s="79"/>
      <c r="M100" s="79"/>
      <c r="N100" s="150"/>
    </row>
    <row r="101" spans="1:14" s="9" customFormat="1" x14ac:dyDescent="0.2">
      <c r="A101" s="142">
        <v>274</v>
      </c>
      <c r="B101" s="175" t="s">
        <v>78</v>
      </c>
      <c r="C101" s="48">
        <v>1651356593</v>
      </c>
      <c r="D101" s="48"/>
      <c r="E101" s="86"/>
      <c r="F101" s="70"/>
      <c r="G101" s="70"/>
      <c r="H101" s="70">
        <v>9.3589999999999997E-6</v>
      </c>
      <c r="I101" s="70"/>
      <c r="J101" s="71"/>
      <c r="K101" s="145">
        <f>SUM(E101:I102)</f>
        <v>7.7385500000000005E-4</v>
      </c>
      <c r="L101" s="70"/>
      <c r="M101" s="70"/>
      <c r="N101" s="149">
        <f>SUM(K101:M102)</f>
        <v>7.7385500000000005E-4</v>
      </c>
    </row>
    <row r="102" spans="1:14" s="9" customFormat="1" x14ac:dyDescent="0.2">
      <c r="A102" s="144"/>
      <c r="B102" s="152"/>
      <c r="C102" s="50"/>
      <c r="D102" s="50">
        <f>C101+1039212</f>
        <v>1652395805</v>
      </c>
      <c r="E102" s="78"/>
      <c r="F102" s="79">
        <v>7.6449600000000003E-4</v>
      </c>
      <c r="G102" s="79"/>
      <c r="H102" s="79"/>
      <c r="I102" s="79"/>
      <c r="J102" s="80"/>
      <c r="K102" s="155"/>
      <c r="L102" s="79"/>
      <c r="M102" s="79"/>
      <c r="N102" s="157"/>
    </row>
    <row r="103" spans="1:14" s="9" customFormat="1" x14ac:dyDescent="0.2">
      <c r="A103" s="142">
        <v>281</v>
      </c>
      <c r="B103" s="147" t="s">
        <v>23</v>
      </c>
      <c r="C103" s="48">
        <v>3125823325</v>
      </c>
      <c r="D103" s="48"/>
      <c r="E103" s="86"/>
      <c r="F103" s="70">
        <v>3.633481E-3</v>
      </c>
      <c r="G103" s="70"/>
      <c r="H103" s="70"/>
      <c r="I103" s="70"/>
      <c r="J103" s="71"/>
      <c r="K103" s="145">
        <f>SUM(E103:I104)</f>
        <v>3.633481E-3</v>
      </c>
      <c r="L103" s="70"/>
      <c r="M103" s="70"/>
      <c r="N103" s="149">
        <f>SUM(K103:M104)</f>
        <v>3.633481E-3</v>
      </c>
    </row>
    <row r="104" spans="1:14" s="9" customFormat="1" x14ac:dyDescent="0.2">
      <c r="A104" s="144"/>
      <c r="B104" s="152"/>
      <c r="C104" s="50"/>
      <c r="D104" s="50">
        <f>C103+100950185</f>
        <v>3226773510</v>
      </c>
      <c r="E104" s="78"/>
      <c r="F104" s="79"/>
      <c r="G104" s="79"/>
      <c r="H104" s="79"/>
      <c r="I104" s="79"/>
      <c r="J104" s="80"/>
      <c r="K104" s="155"/>
      <c r="L104" s="79"/>
      <c r="M104" s="79"/>
      <c r="N104" s="157"/>
    </row>
    <row r="105" spans="1:14" s="9" customFormat="1" x14ac:dyDescent="0.2">
      <c r="A105" s="87">
        <v>282</v>
      </c>
      <c r="B105" s="93" t="s">
        <v>79</v>
      </c>
      <c r="C105" s="63">
        <v>305212802</v>
      </c>
      <c r="D105" s="63"/>
      <c r="E105" s="89"/>
      <c r="F105" s="90">
        <v>3.710994E-3</v>
      </c>
      <c r="G105" s="90"/>
      <c r="H105" s="90"/>
      <c r="I105" s="90"/>
      <c r="J105" s="91"/>
      <c r="K105" s="90">
        <f t="shared" ref="K105:K166" si="4">SUM(E105:I105)</f>
        <v>3.710994E-3</v>
      </c>
      <c r="L105" s="90">
        <v>5.8459899999999999E-4</v>
      </c>
      <c r="M105" s="90"/>
      <c r="N105" s="92">
        <f t="shared" ref="N105:N166" si="5">SUM(K105:M105)</f>
        <v>4.2955930000000003E-3</v>
      </c>
    </row>
    <row r="106" spans="1:14" s="9" customFormat="1" x14ac:dyDescent="0.2">
      <c r="A106" s="87">
        <v>283</v>
      </c>
      <c r="B106" s="93" t="s">
        <v>80</v>
      </c>
      <c r="C106" s="63">
        <v>236978040</v>
      </c>
      <c r="D106" s="63"/>
      <c r="E106" s="89"/>
      <c r="F106" s="90">
        <v>3.1241670000000002E-3</v>
      </c>
      <c r="G106" s="90"/>
      <c r="H106" s="90"/>
      <c r="I106" s="90"/>
      <c r="J106" s="91"/>
      <c r="K106" s="90">
        <f t="shared" si="4"/>
        <v>3.1241670000000002E-3</v>
      </c>
      <c r="L106" s="90"/>
      <c r="M106" s="90"/>
      <c r="N106" s="92">
        <f t="shared" si="5"/>
        <v>3.1241670000000002E-3</v>
      </c>
    </row>
    <row r="107" spans="1:14" s="9" customFormat="1" x14ac:dyDescent="0.2">
      <c r="A107" s="87">
        <v>285</v>
      </c>
      <c r="B107" s="93" t="s">
        <v>24</v>
      </c>
      <c r="C107" s="63">
        <v>479185243</v>
      </c>
      <c r="D107" s="63"/>
      <c r="E107" s="89"/>
      <c r="F107" s="90">
        <v>3.0410599999999999E-3</v>
      </c>
      <c r="G107" s="90"/>
      <c r="H107" s="90">
        <v>6.7129999999999999E-6</v>
      </c>
      <c r="I107" s="90"/>
      <c r="J107" s="91"/>
      <c r="K107" s="90">
        <f t="shared" si="4"/>
        <v>3.0477730000000001E-3</v>
      </c>
      <c r="L107" s="90"/>
      <c r="M107" s="90"/>
      <c r="N107" s="92">
        <f t="shared" si="5"/>
        <v>3.0477730000000001E-3</v>
      </c>
    </row>
    <row r="108" spans="1:14" s="9" customFormat="1" x14ac:dyDescent="0.2">
      <c r="A108" s="87">
        <v>287</v>
      </c>
      <c r="B108" s="93" t="s">
        <v>81</v>
      </c>
      <c r="C108" s="63">
        <v>302776339</v>
      </c>
      <c r="D108" s="63"/>
      <c r="E108" s="89"/>
      <c r="F108" s="90">
        <v>2.6923139999999999E-3</v>
      </c>
      <c r="G108" s="90"/>
      <c r="H108" s="90"/>
      <c r="I108" s="90"/>
      <c r="J108" s="91"/>
      <c r="K108" s="90">
        <f>SUM(E108:I108)</f>
        <v>2.6923139999999999E-3</v>
      </c>
      <c r="L108" s="90"/>
      <c r="M108" s="90"/>
      <c r="N108" s="92">
        <f>SUM(K108:M108)</f>
        <v>2.6923139999999999E-3</v>
      </c>
    </row>
    <row r="109" spans="1:14" s="9" customFormat="1" x14ac:dyDescent="0.2">
      <c r="A109" s="87">
        <v>288</v>
      </c>
      <c r="B109" s="93" t="s">
        <v>101</v>
      </c>
      <c r="C109" s="63">
        <v>343650610</v>
      </c>
      <c r="D109" s="63"/>
      <c r="E109" s="89"/>
      <c r="F109" s="90">
        <v>2.2102649999999999E-3</v>
      </c>
      <c r="G109" s="90"/>
      <c r="H109" s="90"/>
      <c r="I109" s="90"/>
      <c r="J109" s="91"/>
      <c r="K109" s="90">
        <f>SUM(E109:I109)</f>
        <v>2.2102649999999999E-3</v>
      </c>
      <c r="L109" s="90"/>
      <c r="M109" s="90"/>
      <c r="N109" s="92">
        <f>SUM(K109:M109)</f>
        <v>2.2102649999999999E-3</v>
      </c>
    </row>
    <row r="110" spans="1:14" s="9" customFormat="1" x14ac:dyDescent="0.2">
      <c r="A110" s="111">
        <v>291</v>
      </c>
      <c r="B110" s="112" t="s">
        <v>25</v>
      </c>
      <c r="C110" s="63">
        <v>1271045770</v>
      </c>
      <c r="D110" s="63"/>
      <c r="E110" s="89"/>
      <c r="F110" s="90">
        <v>4.2484700000000001E-4</v>
      </c>
      <c r="G110" s="90"/>
      <c r="H110" s="90">
        <v>2.8986999999999999E-5</v>
      </c>
      <c r="I110" s="90"/>
      <c r="J110" s="91"/>
      <c r="K110" s="113">
        <f>SUM(E110:I110)</f>
        <v>4.5383400000000002E-4</v>
      </c>
      <c r="L110" s="90">
        <v>1.0903029999999999E-3</v>
      </c>
      <c r="M110" s="90"/>
      <c r="N110" s="114">
        <f>SUM(K110:M110)</f>
        <v>1.5441369999999999E-3</v>
      </c>
    </row>
    <row r="111" spans="1:14" s="9" customFormat="1" x14ac:dyDescent="0.2">
      <c r="A111" s="87">
        <v>292</v>
      </c>
      <c r="B111" s="93" t="s">
        <v>26</v>
      </c>
      <c r="C111" s="63">
        <v>148869148</v>
      </c>
      <c r="D111" s="63"/>
      <c r="E111" s="89"/>
      <c r="F111" s="90"/>
      <c r="G111" s="90"/>
      <c r="H111" s="90">
        <v>9.9893000000000001E-5</v>
      </c>
      <c r="I111" s="90"/>
      <c r="J111" s="91"/>
      <c r="K111" s="90">
        <f t="shared" si="4"/>
        <v>9.9893000000000001E-5</v>
      </c>
      <c r="L111" s="90"/>
      <c r="M111" s="90"/>
      <c r="N111" s="92">
        <f t="shared" si="5"/>
        <v>9.9893000000000001E-5</v>
      </c>
    </row>
    <row r="112" spans="1:14" s="9" customFormat="1" x14ac:dyDescent="0.2">
      <c r="A112" s="87">
        <v>302</v>
      </c>
      <c r="B112" s="88" t="s">
        <v>82</v>
      </c>
      <c r="C112" s="63">
        <v>177265875</v>
      </c>
      <c r="D112" s="63"/>
      <c r="E112" s="89"/>
      <c r="F112" s="90">
        <v>2.0030590000000002E-3</v>
      </c>
      <c r="G112" s="90"/>
      <c r="H112" s="90">
        <v>9.6239999999999997E-6</v>
      </c>
      <c r="I112" s="90">
        <v>1.393E-6</v>
      </c>
      <c r="J112" s="91" t="s">
        <v>131</v>
      </c>
      <c r="K112" s="90">
        <f t="shared" si="4"/>
        <v>2.0140760000000005E-3</v>
      </c>
      <c r="L112" s="90"/>
      <c r="M112" s="90"/>
      <c r="N112" s="92">
        <f t="shared" si="5"/>
        <v>2.0140760000000005E-3</v>
      </c>
    </row>
    <row r="113" spans="1:14" s="9" customFormat="1" x14ac:dyDescent="0.2">
      <c r="A113" s="87">
        <v>304</v>
      </c>
      <c r="B113" s="88" t="s">
        <v>83</v>
      </c>
      <c r="C113" s="63">
        <v>409635569</v>
      </c>
      <c r="D113" s="63"/>
      <c r="E113" s="89"/>
      <c r="F113" s="90"/>
      <c r="G113" s="90"/>
      <c r="H113" s="90">
        <v>1.6820000000000002E-5</v>
      </c>
      <c r="I113" s="90"/>
      <c r="J113" s="91"/>
      <c r="K113" s="90">
        <f t="shared" si="4"/>
        <v>1.6820000000000002E-5</v>
      </c>
      <c r="L113" s="90"/>
      <c r="M113" s="90"/>
      <c r="N113" s="92">
        <f t="shared" si="5"/>
        <v>1.6820000000000002E-5</v>
      </c>
    </row>
    <row r="114" spans="1:14" s="9" customFormat="1" x14ac:dyDescent="0.2">
      <c r="A114" s="87">
        <v>305</v>
      </c>
      <c r="B114" s="93" t="s">
        <v>84</v>
      </c>
      <c r="C114" s="63">
        <v>226968283</v>
      </c>
      <c r="D114" s="63"/>
      <c r="E114" s="89"/>
      <c r="F114" s="90">
        <v>1.793691E-3</v>
      </c>
      <c r="G114" s="90"/>
      <c r="H114" s="90">
        <v>1.6324000000000002E-5</v>
      </c>
      <c r="I114" s="90">
        <v>1.423E-6</v>
      </c>
      <c r="J114" s="91" t="s">
        <v>131</v>
      </c>
      <c r="K114" s="90">
        <f t="shared" si="4"/>
        <v>1.8114380000000001E-3</v>
      </c>
      <c r="L114" s="90"/>
      <c r="M114" s="90">
        <v>2.2029499999999999E-4</v>
      </c>
      <c r="N114" s="92">
        <f t="shared" si="5"/>
        <v>2.031733E-3</v>
      </c>
    </row>
    <row r="115" spans="1:14" s="9" customFormat="1" x14ac:dyDescent="0.2">
      <c r="A115" s="87">
        <v>312</v>
      </c>
      <c r="B115" s="93" t="s">
        <v>85</v>
      </c>
      <c r="C115" s="63">
        <v>404945154</v>
      </c>
      <c r="D115" s="63"/>
      <c r="E115" s="89"/>
      <c r="F115" s="90">
        <v>8.0858000000000004E-5</v>
      </c>
      <c r="G115" s="90"/>
      <c r="H115" s="90">
        <v>8.9250000000000001E-6</v>
      </c>
      <c r="I115" s="90"/>
      <c r="J115" s="91"/>
      <c r="K115" s="90">
        <f t="shared" si="4"/>
        <v>8.9783000000000004E-5</v>
      </c>
      <c r="L115" s="90"/>
      <c r="M115" s="90"/>
      <c r="N115" s="92">
        <f t="shared" si="5"/>
        <v>8.9783000000000004E-5</v>
      </c>
    </row>
    <row r="116" spans="1:14" s="9" customFormat="1" x14ac:dyDescent="0.2">
      <c r="A116" s="87">
        <v>314</v>
      </c>
      <c r="B116" s="93" t="s">
        <v>27</v>
      </c>
      <c r="C116" s="63">
        <v>113022565</v>
      </c>
      <c r="D116" s="63"/>
      <c r="E116" s="89"/>
      <c r="F116" s="90"/>
      <c r="G116" s="90"/>
      <c r="H116" s="90"/>
      <c r="I116" s="90">
        <v>1.3059E-5</v>
      </c>
      <c r="J116" s="91" t="s">
        <v>131</v>
      </c>
      <c r="K116" s="90">
        <f t="shared" si="4"/>
        <v>1.3059E-5</v>
      </c>
      <c r="L116" s="90">
        <v>3.5537200000000001E-4</v>
      </c>
      <c r="M116" s="90"/>
      <c r="N116" s="92">
        <f t="shared" si="5"/>
        <v>3.6843100000000001E-4</v>
      </c>
    </row>
    <row r="117" spans="1:14" s="9" customFormat="1" x14ac:dyDescent="0.2">
      <c r="A117" s="87">
        <v>316</v>
      </c>
      <c r="B117" s="93" t="s">
        <v>28</v>
      </c>
      <c r="C117" s="63">
        <v>133689799</v>
      </c>
      <c r="D117" s="63"/>
      <c r="E117" s="89"/>
      <c r="F117" s="90">
        <v>1.3464E-3</v>
      </c>
      <c r="G117" s="90"/>
      <c r="H117" s="90">
        <v>5.2061000000000002E-5</v>
      </c>
      <c r="I117" s="90"/>
      <c r="J117" s="91"/>
      <c r="K117" s="90">
        <f t="shared" si="4"/>
        <v>1.3984609999999999E-3</v>
      </c>
      <c r="L117" s="90"/>
      <c r="M117" s="90"/>
      <c r="N117" s="92">
        <f t="shared" si="5"/>
        <v>1.3984609999999999E-3</v>
      </c>
    </row>
    <row r="118" spans="1:14" s="9" customFormat="1" x14ac:dyDescent="0.2">
      <c r="A118" s="142">
        <v>321</v>
      </c>
      <c r="B118" s="147" t="s">
        <v>29</v>
      </c>
      <c r="C118" s="48">
        <v>3291233402</v>
      </c>
      <c r="D118" s="48"/>
      <c r="E118" s="86"/>
      <c r="F118" s="70"/>
      <c r="G118" s="70"/>
      <c r="H118" s="70">
        <v>4.4631E-5</v>
      </c>
      <c r="I118" s="70"/>
      <c r="J118" s="71"/>
      <c r="K118" s="145">
        <f>SUM(E118:I120)</f>
        <v>6.0065399999999994E-4</v>
      </c>
      <c r="L118" s="70"/>
      <c r="M118" s="70"/>
      <c r="N118" s="149">
        <f>SUM(K118:M120)</f>
        <v>1.8605179999999998E-3</v>
      </c>
    </row>
    <row r="119" spans="1:14" s="9" customFormat="1" x14ac:dyDescent="0.2">
      <c r="A119" s="143"/>
      <c r="B119" s="153"/>
      <c r="C119" s="16"/>
      <c r="D119" s="16">
        <f>C118+296746868</f>
        <v>3587980270</v>
      </c>
      <c r="E119" s="74"/>
      <c r="F119" s="75">
        <v>5.56023E-4</v>
      </c>
      <c r="G119" s="77"/>
      <c r="H119" s="77"/>
      <c r="I119" s="75"/>
      <c r="J119" s="76"/>
      <c r="K119" s="154"/>
      <c r="L119" s="75">
        <f>0.000365941+0.000361749+0.000393327</f>
        <v>1.121017E-3</v>
      </c>
      <c r="M119" s="75"/>
      <c r="N119" s="156"/>
    </row>
    <row r="120" spans="1:14" s="9" customFormat="1" x14ac:dyDescent="0.2">
      <c r="A120" s="144"/>
      <c r="B120" s="152"/>
      <c r="C120" s="50"/>
      <c r="D120" s="50">
        <f>C118+150054180</f>
        <v>3441287582</v>
      </c>
      <c r="E120" s="78"/>
      <c r="F120" s="79"/>
      <c r="G120" s="115"/>
      <c r="H120" s="115"/>
      <c r="I120" s="79"/>
      <c r="J120" s="80"/>
      <c r="K120" s="155"/>
      <c r="L120" s="79">
        <v>1.3884699999999999E-4</v>
      </c>
      <c r="M120" s="79"/>
      <c r="N120" s="157"/>
    </row>
    <row r="121" spans="1:14" s="9" customFormat="1" x14ac:dyDescent="0.2">
      <c r="A121" s="142">
        <v>322</v>
      </c>
      <c r="B121" s="147" t="s">
        <v>86</v>
      </c>
      <c r="C121" s="48">
        <v>665727900</v>
      </c>
      <c r="D121" s="48"/>
      <c r="E121" s="86"/>
      <c r="F121" s="70"/>
      <c r="G121" s="70"/>
      <c r="H121" s="70">
        <v>3.3652999999999998E-5</v>
      </c>
      <c r="I121" s="70"/>
      <c r="J121" s="71"/>
      <c r="K121" s="145">
        <f>SUM(E121:I122)</f>
        <v>3.3652999999999998E-5</v>
      </c>
      <c r="L121" s="70"/>
      <c r="M121" s="70"/>
      <c r="N121" s="149">
        <f>SUM(K121:M122)</f>
        <v>3.3652999999999998E-5</v>
      </c>
    </row>
    <row r="122" spans="1:14" s="9" customFormat="1" x14ac:dyDescent="0.2">
      <c r="A122" s="144"/>
      <c r="B122" s="152"/>
      <c r="C122" s="50"/>
      <c r="D122" s="50">
        <f>C121+26214903</f>
        <v>691942803</v>
      </c>
      <c r="E122" s="78"/>
      <c r="F122" s="79"/>
      <c r="G122" s="79"/>
      <c r="H122" s="79"/>
      <c r="I122" s="79"/>
      <c r="J122" s="80"/>
      <c r="K122" s="155"/>
      <c r="L122" s="79"/>
      <c r="M122" s="79"/>
      <c r="N122" s="157"/>
    </row>
    <row r="123" spans="1:14" s="9" customFormat="1" x14ac:dyDescent="0.2">
      <c r="A123" s="142">
        <v>331</v>
      </c>
      <c r="B123" s="147" t="s">
        <v>115</v>
      </c>
      <c r="C123" s="48">
        <v>2982134627</v>
      </c>
      <c r="D123" s="48"/>
      <c r="E123" s="86"/>
      <c r="F123" s="70"/>
      <c r="G123" s="70"/>
      <c r="H123" s="70">
        <v>5.118E-6</v>
      </c>
      <c r="I123" s="70"/>
      <c r="J123" s="71"/>
      <c r="K123" s="145">
        <f>SUM(E123:I124)</f>
        <v>7.4968000000000007E-4</v>
      </c>
      <c r="L123" s="70"/>
      <c r="M123" s="70"/>
      <c r="N123" s="149">
        <f>SUM(K123:M124)</f>
        <v>8.6492300000000008E-4</v>
      </c>
    </row>
    <row r="124" spans="1:14" s="9" customFormat="1" x14ac:dyDescent="0.2">
      <c r="A124" s="151"/>
      <c r="B124" s="148"/>
      <c r="C124" s="50"/>
      <c r="D124" s="50">
        <f>C123+39774290</f>
        <v>3021908917</v>
      </c>
      <c r="E124" s="78"/>
      <c r="F124" s="79">
        <v>7.4456200000000004E-4</v>
      </c>
      <c r="G124" s="79"/>
      <c r="H124" s="115"/>
      <c r="I124" s="79"/>
      <c r="J124" s="80"/>
      <c r="K124" s="146"/>
      <c r="L124" s="79">
        <v>1.1524299999999999E-4</v>
      </c>
      <c r="M124" s="79"/>
      <c r="N124" s="150"/>
    </row>
    <row r="125" spans="1:14" s="9" customFormat="1" x14ac:dyDescent="0.2">
      <c r="A125" s="142">
        <v>340</v>
      </c>
      <c r="B125" s="147" t="s">
        <v>87</v>
      </c>
      <c r="C125" s="48">
        <v>5149225003</v>
      </c>
      <c r="D125" s="58"/>
      <c r="E125" s="86"/>
      <c r="F125" s="101">
        <v>8.8400000000000002E-4</v>
      </c>
      <c r="G125" s="70"/>
      <c r="H125" s="70"/>
      <c r="I125" s="70"/>
      <c r="J125" s="71"/>
      <c r="K125" s="145">
        <f>SUM(E125:I126)</f>
        <v>4.5349049999999997E-3</v>
      </c>
      <c r="L125" s="70"/>
      <c r="M125" s="70"/>
      <c r="N125" s="149">
        <f>SUM(K125:M126)</f>
        <v>5.0884669999999993E-3</v>
      </c>
    </row>
    <row r="126" spans="1:14" s="9" customFormat="1" ht="12.75" customHeight="1" x14ac:dyDescent="0.2">
      <c r="A126" s="151"/>
      <c r="B126" s="148"/>
      <c r="C126" s="50"/>
      <c r="D126" s="50">
        <f>C125+146880701</f>
        <v>5296105704</v>
      </c>
      <c r="E126" s="78"/>
      <c r="F126" s="79">
        <v>3.6473320000000001E-3</v>
      </c>
      <c r="G126" s="79"/>
      <c r="H126" s="79"/>
      <c r="I126" s="79">
        <v>3.5729999999999999E-6</v>
      </c>
      <c r="J126" s="80" t="s">
        <v>131</v>
      </c>
      <c r="K126" s="146"/>
      <c r="L126" s="79">
        <v>5.5356199999999996E-4</v>
      </c>
      <c r="M126" s="79"/>
      <c r="N126" s="150"/>
    </row>
    <row r="127" spans="1:14" s="9" customFormat="1" ht="12.75" customHeight="1" x14ac:dyDescent="0.2">
      <c r="A127" s="87">
        <v>341</v>
      </c>
      <c r="B127" s="93" t="s">
        <v>30</v>
      </c>
      <c r="C127" s="63">
        <v>266268892</v>
      </c>
      <c r="D127" s="63"/>
      <c r="E127" s="89"/>
      <c r="F127" s="90"/>
      <c r="G127" s="90"/>
      <c r="H127" s="90">
        <v>1.6551700000000001E-4</v>
      </c>
      <c r="I127" s="90">
        <v>1.0550000000000001E-6</v>
      </c>
      <c r="J127" s="91" t="s">
        <v>131</v>
      </c>
      <c r="K127" s="90">
        <f t="shared" si="4"/>
        <v>1.66572E-4</v>
      </c>
      <c r="L127" s="90"/>
      <c r="M127" s="90"/>
      <c r="N127" s="92">
        <f t="shared" si="5"/>
        <v>1.66572E-4</v>
      </c>
    </row>
    <row r="128" spans="1:14" s="9" customFormat="1" x14ac:dyDescent="0.2">
      <c r="A128" s="87">
        <v>342</v>
      </c>
      <c r="B128" s="88" t="s">
        <v>88</v>
      </c>
      <c r="C128" s="63">
        <v>92558686</v>
      </c>
      <c r="D128" s="63"/>
      <c r="E128" s="89"/>
      <c r="F128" s="90">
        <v>2.1060800000000002E-3</v>
      </c>
      <c r="G128" s="90"/>
      <c r="H128" s="90">
        <v>4.7580999999999997E-5</v>
      </c>
      <c r="I128" s="90">
        <v>1.2419999999999999E-6</v>
      </c>
      <c r="J128" s="91" t="s">
        <v>131</v>
      </c>
      <c r="K128" s="90">
        <f t="shared" si="4"/>
        <v>2.1549030000000001E-3</v>
      </c>
      <c r="L128" s="90"/>
      <c r="M128" s="90"/>
      <c r="N128" s="92">
        <f t="shared" si="5"/>
        <v>2.1549030000000001E-3</v>
      </c>
    </row>
    <row r="129" spans="1:14" s="9" customFormat="1" x14ac:dyDescent="0.2">
      <c r="A129" s="87">
        <v>351</v>
      </c>
      <c r="B129" s="93" t="s">
        <v>89</v>
      </c>
      <c r="C129" s="63">
        <v>530153336</v>
      </c>
      <c r="D129" s="63"/>
      <c r="E129" s="89"/>
      <c r="F129" s="90"/>
      <c r="G129" s="90"/>
      <c r="H129" s="90"/>
      <c r="I129" s="90"/>
      <c r="J129" s="91"/>
      <c r="K129" s="90">
        <f t="shared" si="4"/>
        <v>0</v>
      </c>
      <c r="L129" s="90"/>
      <c r="M129" s="90">
        <v>2.2635E-4</v>
      </c>
      <c r="N129" s="92">
        <f t="shared" si="5"/>
        <v>2.2635E-4</v>
      </c>
    </row>
    <row r="130" spans="1:14" s="9" customFormat="1" x14ac:dyDescent="0.2">
      <c r="A130" s="87">
        <v>363</v>
      </c>
      <c r="B130" s="88" t="s">
        <v>90</v>
      </c>
      <c r="C130" s="63">
        <v>663099005</v>
      </c>
      <c r="D130" s="63"/>
      <c r="E130" s="89"/>
      <c r="F130" s="90"/>
      <c r="G130" s="90"/>
      <c r="H130" s="90">
        <v>5.4475000000000003E-5</v>
      </c>
      <c r="I130" s="90">
        <v>9.8024599999999994E-4</v>
      </c>
      <c r="J130" s="91" t="s">
        <v>113</v>
      </c>
      <c r="K130" s="90">
        <f t="shared" si="4"/>
        <v>1.0347209999999999E-3</v>
      </c>
      <c r="L130" s="90">
        <v>1.2818599999999999E-3</v>
      </c>
      <c r="M130" s="90"/>
      <c r="N130" s="92">
        <f t="shared" si="5"/>
        <v>2.3165809999999998E-3</v>
      </c>
    </row>
    <row r="131" spans="1:14" s="9" customFormat="1" x14ac:dyDescent="0.2">
      <c r="A131" s="87">
        <v>364</v>
      </c>
      <c r="B131" s="93" t="s">
        <v>111</v>
      </c>
      <c r="C131" s="63">
        <v>35962891</v>
      </c>
      <c r="D131" s="63"/>
      <c r="E131" s="89"/>
      <c r="F131" s="90"/>
      <c r="G131" s="90"/>
      <c r="H131" s="90">
        <v>3.3809900000000002E-4</v>
      </c>
      <c r="I131" s="90"/>
      <c r="J131" s="91"/>
      <c r="K131" s="90">
        <f t="shared" si="4"/>
        <v>3.3809900000000002E-4</v>
      </c>
      <c r="L131" s="90"/>
      <c r="M131" s="90"/>
      <c r="N131" s="92">
        <f t="shared" si="5"/>
        <v>3.3809900000000002E-4</v>
      </c>
    </row>
    <row r="132" spans="1:14" s="9" customFormat="1" x14ac:dyDescent="0.2">
      <c r="A132" s="87">
        <v>365</v>
      </c>
      <c r="B132" s="93" t="s">
        <v>112</v>
      </c>
      <c r="C132" s="63">
        <v>352030298</v>
      </c>
      <c r="D132" s="63"/>
      <c r="E132" s="89"/>
      <c r="F132" s="90">
        <v>1.8464320000000001E-3</v>
      </c>
      <c r="G132" s="90"/>
      <c r="H132" s="90">
        <v>3.01599E-4</v>
      </c>
      <c r="I132" s="90"/>
      <c r="J132" s="91"/>
      <c r="K132" s="90">
        <f t="shared" si="4"/>
        <v>2.1480309999999999E-3</v>
      </c>
      <c r="L132" s="90">
        <v>5.3649600000000002E-4</v>
      </c>
      <c r="M132" s="90"/>
      <c r="N132" s="92">
        <f t="shared" si="5"/>
        <v>2.6845269999999999E-3</v>
      </c>
    </row>
    <row r="133" spans="1:14" s="9" customFormat="1" x14ac:dyDescent="0.2">
      <c r="A133" s="87">
        <v>370</v>
      </c>
      <c r="B133" s="93" t="s">
        <v>91</v>
      </c>
      <c r="C133" s="63">
        <v>805006867</v>
      </c>
      <c r="D133" s="63"/>
      <c r="E133" s="89"/>
      <c r="F133" s="90"/>
      <c r="G133" s="90"/>
      <c r="H133" s="90">
        <v>8.3529999999999995E-6</v>
      </c>
      <c r="I133" s="90">
        <v>7.2626699999999995E-4</v>
      </c>
      <c r="J133" s="91" t="s">
        <v>113</v>
      </c>
      <c r="K133" s="90">
        <f t="shared" si="4"/>
        <v>7.3461999999999996E-4</v>
      </c>
      <c r="L133" s="90"/>
      <c r="M133" s="90">
        <v>1.6893609999999999E-3</v>
      </c>
      <c r="N133" s="92">
        <f t="shared" si="5"/>
        <v>2.423981E-3</v>
      </c>
    </row>
    <row r="134" spans="1:14" s="9" customFormat="1" x14ac:dyDescent="0.2">
      <c r="A134" s="142">
        <v>371</v>
      </c>
      <c r="B134" s="175" t="s">
        <v>92</v>
      </c>
      <c r="C134" s="48">
        <v>1188386764</v>
      </c>
      <c r="D134" s="58"/>
      <c r="E134" s="86"/>
      <c r="F134" s="70"/>
      <c r="G134" s="70"/>
      <c r="H134" s="70">
        <v>1.2869999999999999E-6</v>
      </c>
      <c r="I134" s="70"/>
      <c r="J134" s="71"/>
      <c r="K134" s="145">
        <f>SUM(E134:I135)</f>
        <v>1.2869999999999999E-6</v>
      </c>
      <c r="L134" s="70"/>
      <c r="M134" s="70"/>
      <c r="N134" s="149">
        <f>SUM(K134:M135)</f>
        <v>2.6413599999999999E-4</v>
      </c>
    </row>
    <row r="135" spans="1:14" s="9" customFormat="1" x14ac:dyDescent="0.2">
      <c r="A135" s="144"/>
      <c r="B135" s="152"/>
      <c r="C135" s="50"/>
      <c r="D135" s="50">
        <f>C134+16787968</f>
        <v>1205174732</v>
      </c>
      <c r="E135" s="78"/>
      <c r="F135" s="79"/>
      <c r="G135" s="79"/>
      <c r="H135" s="79"/>
      <c r="I135" s="79"/>
      <c r="J135" s="80"/>
      <c r="K135" s="155"/>
      <c r="L135" s="79"/>
      <c r="M135" s="79">
        <v>2.62849E-4</v>
      </c>
      <c r="N135" s="157"/>
    </row>
    <row r="136" spans="1:14" s="9" customFormat="1" x14ac:dyDescent="0.2">
      <c r="A136" s="106">
        <v>372</v>
      </c>
      <c r="B136" s="107" t="s">
        <v>31</v>
      </c>
      <c r="C136" s="48">
        <v>905414775</v>
      </c>
      <c r="D136" s="48"/>
      <c r="E136" s="86"/>
      <c r="F136" s="70">
        <v>3.8656299999999998E-4</v>
      </c>
      <c r="G136" s="70"/>
      <c r="H136" s="70">
        <v>4.0179999999999998E-5</v>
      </c>
      <c r="I136" s="70"/>
      <c r="J136" s="71"/>
      <c r="K136" s="70">
        <f t="shared" si="4"/>
        <v>4.2674299999999999E-4</v>
      </c>
      <c r="L136" s="70">
        <v>5.057E-6</v>
      </c>
      <c r="M136" s="70"/>
      <c r="N136" s="108">
        <f t="shared" si="5"/>
        <v>4.3179999999999998E-4</v>
      </c>
    </row>
    <row r="137" spans="1:14" s="9" customFormat="1" x14ac:dyDescent="0.2">
      <c r="A137" s="68">
        <v>373</v>
      </c>
      <c r="B137" s="69" t="s">
        <v>44</v>
      </c>
      <c r="C137" s="50">
        <v>1647828945</v>
      </c>
      <c r="D137" s="50"/>
      <c r="E137" s="78"/>
      <c r="F137" s="79"/>
      <c r="G137" s="79"/>
      <c r="H137" s="79">
        <v>2.5602E-5</v>
      </c>
      <c r="I137" s="79"/>
      <c r="J137" s="80"/>
      <c r="K137" s="79">
        <f t="shared" si="4"/>
        <v>2.5602E-5</v>
      </c>
      <c r="L137" s="79">
        <v>4.5340000000000001E-6</v>
      </c>
      <c r="M137" s="79">
        <v>2.12401E-4</v>
      </c>
      <c r="N137" s="109">
        <f t="shared" si="5"/>
        <v>2.42537E-4</v>
      </c>
    </row>
    <row r="138" spans="1:14" s="9" customFormat="1" x14ac:dyDescent="0.2">
      <c r="A138" s="142">
        <v>381</v>
      </c>
      <c r="B138" s="147" t="s">
        <v>93</v>
      </c>
      <c r="C138" s="48">
        <v>1399277815</v>
      </c>
      <c r="D138" s="48"/>
      <c r="E138" s="86"/>
      <c r="F138" s="70"/>
      <c r="G138" s="70"/>
      <c r="H138" s="70"/>
      <c r="I138" s="70"/>
      <c r="J138" s="71"/>
      <c r="K138" s="145">
        <f>SUM(E138:I139)</f>
        <v>1.6951100000000001E-3</v>
      </c>
      <c r="L138" s="70"/>
      <c r="M138" s="70"/>
      <c r="N138" s="149">
        <f>SUM(K138:M139)</f>
        <v>2.1758620000000002E-3</v>
      </c>
    </row>
    <row r="139" spans="1:14" s="9" customFormat="1" x14ac:dyDescent="0.2">
      <c r="A139" s="144"/>
      <c r="B139" s="152"/>
      <c r="C139" s="50"/>
      <c r="D139" s="50">
        <f>C138+5407133</f>
        <v>1404684948</v>
      </c>
      <c r="E139" s="78"/>
      <c r="F139" s="79">
        <v>1.6951100000000001E-3</v>
      </c>
      <c r="G139" s="79"/>
      <c r="H139" s="79"/>
      <c r="I139" s="79"/>
      <c r="J139" s="80"/>
      <c r="K139" s="155"/>
      <c r="L139" s="79"/>
      <c r="M139" s="79">
        <v>4.8075199999999998E-4</v>
      </c>
      <c r="N139" s="157"/>
    </row>
    <row r="140" spans="1:14" s="9" customFormat="1" x14ac:dyDescent="0.2">
      <c r="A140" s="87">
        <v>382</v>
      </c>
      <c r="B140" s="93" t="s">
        <v>32</v>
      </c>
      <c r="C140" s="63">
        <v>76937700</v>
      </c>
      <c r="D140" s="63"/>
      <c r="E140" s="89"/>
      <c r="F140" s="90">
        <v>1.335171E-3</v>
      </c>
      <c r="G140" s="90"/>
      <c r="H140" s="90"/>
      <c r="I140" s="90"/>
      <c r="J140" s="91"/>
      <c r="K140" s="90">
        <f t="shared" si="4"/>
        <v>1.335171E-3</v>
      </c>
      <c r="L140" s="90"/>
      <c r="M140" s="90"/>
      <c r="N140" s="92">
        <f t="shared" si="5"/>
        <v>1.335171E-3</v>
      </c>
    </row>
    <row r="141" spans="1:14" s="9" customFormat="1" x14ac:dyDescent="0.2">
      <c r="A141" s="87">
        <v>383</v>
      </c>
      <c r="B141" s="93" t="s">
        <v>94</v>
      </c>
      <c r="C141" s="63">
        <v>44931535</v>
      </c>
      <c r="D141" s="63"/>
      <c r="E141" s="89"/>
      <c r="F141" s="90"/>
      <c r="G141" s="90"/>
      <c r="H141" s="90"/>
      <c r="I141" s="90">
        <v>2.34668E-4</v>
      </c>
      <c r="J141" s="91" t="s">
        <v>108</v>
      </c>
      <c r="K141" s="90">
        <f t="shared" si="4"/>
        <v>2.34668E-4</v>
      </c>
      <c r="L141" s="90"/>
      <c r="M141" s="90"/>
      <c r="N141" s="92">
        <f t="shared" si="5"/>
        <v>2.34668E-4</v>
      </c>
    </row>
    <row r="142" spans="1:14" s="9" customFormat="1" x14ac:dyDescent="0.2">
      <c r="A142" s="87">
        <v>391</v>
      </c>
      <c r="B142" s="93" t="s">
        <v>102</v>
      </c>
      <c r="C142" s="63">
        <v>1485988301</v>
      </c>
      <c r="D142" s="63"/>
      <c r="E142" s="89"/>
      <c r="F142" s="90">
        <v>1.9783119999999999E-3</v>
      </c>
      <c r="G142" s="90"/>
      <c r="H142" s="90"/>
      <c r="I142" s="90"/>
      <c r="J142" s="91"/>
      <c r="K142" s="90">
        <f t="shared" si="4"/>
        <v>1.9783119999999999E-3</v>
      </c>
      <c r="L142" s="90">
        <v>4.3965200000000001E-4</v>
      </c>
      <c r="M142" s="90"/>
      <c r="N142" s="92">
        <f t="shared" si="5"/>
        <v>2.4179639999999999E-3</v>
      </c>
    </row>
    <row r="143" spans="1:14" s="9" customFormat="1" x14ac:dyDescent="0.2">
      <c r="A143" s="87">
        <v>392</v>
      </c>
      <c r="B143" s="93" t="s">
        <v>33</v>
      </c>
      <c r="C143" s="63">
        <v>159287847</v>
      </c>
      <c r="D143" s="63"/>
      <c r="E143" s="89"/>
      <c r="F143" s="90">
        <v>4.2376109999999996E-3</v>
      </c>
      <c r="G143" s="90"/>
      <c r="H143" s="90">
        <v>6.6000000000000005E-5</v>
      </c>
      <c r="I143" s="90"/>
      <c r="J143" s="91"/>
      <c r="K143" s="90">
        <f t="shared" si="4"/>
        <v>4.3036109999999997E-3</v>
      </c>
      <c r="L143" s="90"/>
      <c r="M143" s="90"/>
      <c r="N143" s="92">
        <f>SUM(K143:M143)</f>
        <v>4.3036109999999997E-3</v>
      </c>
    </row>
    <row r="144" spans="1:14" s="9" customFormat="1" x14ac:dyDescent="0.2">
      <c r="A144" s="87">
        <v>393</v>
      </c>
      <c r="B144" s="93" t="s">
        <v>34</v>
      </c>
      <c r="C144" s="63">
        <v>681867335</v>
      </c>
      <c r="D144" s="63"/>
      <c r="E144" s="89"/>
      <c r="F144" s="90">
        <v>2.0687539999999999E-3</v>
      </c>
      <c r="G144" s="90"/>
      <c r="H144" s="90"/>
      <c r="I144" s="90"/>
      <c r="J144" s="91"/>
      <c r="K144" s="90">
        <f t="shared" si="4"/>
        <v>2.0687539999999999E-3</v>
      </c>
      <c r="L144" s="90"/>
      <c r="M144" s="90"/>
      <c r="N144" s="92">
        <f t="shared" si="5"/>
        <v>2.0687539999999999E-3</v>
      </c>
    </row>
    <row r="145" spans="1:14" s="9" customFormat="1" x14ac:dyDescent="0.2">
      <c r="A145" s="87">
        <v>394</v>
      </c>
      <c r="B145" s="93" t="s">
        <v>35</v>
      </c>
      <c r="C145" s="63">
        <v>215790107</v>
      </c>
      <c r="D145" s="63"/>
      <c r="E145" s="90">
        <v>5.4460299999999995E-4</v>
      </c>
      <c r="F145" s="90"/>
      <c r="G145" s="90"/>
      <c r="H145" s="90">
        <v>4.977E-6</v>
      </c>
      <c r="I145" s="90">
        <v>2.08536E-4</v>
      </c>
      <c r="J145" s="91" t="s">
        <v>108</v>
      </c>
      <c r="K145" s="90">
        <f t="shared" si="4"/>
        <v>7.5811599999999987E-4</v>
      </c>
      <c r="L145" s="90"/>
      <c r="M145" s="90"/>
      <c r="N145" s="92">
        <f t="shared" si="5"/>
        <v>7.5811599999999987E-4</v>
      </c>
    </row>
    <row r="146" spans="1:14" s="9" customFormat="1" x14ac:dyDescent="0.2">
      <c r="A146" s="142">
        <v>401</v>
      </c>
      <c r="B146" s="147" t="s">
        <v>95</v>
      </c>
      <c r="C146" s="48">
        <v>6239826697</v>
      </c>
      <c r="D146" s="48"/>
      <c r="E146" s="86"/>
      <c r="F146" s="70"/>
      <c r="G146" s="70"/>
      <c r="H146" s="70">
        <v>2.6850000000000001E-6</v>
      </c>
      <c r="I146" s="70"/>
      <c r="J146" s="71"/>
      <c r="K146" s="145">
        <f>SUM(E146:I147)</f>
        <v>8.3104900000000005E-4</v>
      </c>
      <c r="L146" s="70"/>
      <c r="M146" s="70"/>
      <c r="N146" s="149">
        <f>SUM(K146:M148)</f>
        <v>1.1614150000000001E-3</v>
      </c>
    </row>
    <row r="147" spans="1:14" s="9" customFormat="1" x14ac:dyDescent="0.2">
      <c r="A147" s="143"/>
      <c r="B147" s="153"/>
      <c r="C147" s="16"/>
      <c r="D147" s="16">
        <f>C146+104838378</f>
        <v>6344665075</v>
      </c>
      <c r="E147" s="74"/>
      <c r="F147" s="75">
        <v>7.7734600000000005E-4</v>
      </c>
      <c r="G147" s="75">
        <v>5.1017999999999998E-5</v>
      </c>
      <c r="H147" s="75"/>
      <c r="I147" s="75"/>
      <c r="J147" s="76"/>
      <c r="K147" s="154"/>
      <c r="L147" s="75">
        <v>1.86727E-4</v>
      </c>
      <c r="M147" s="75">
        <v>7.8806000000000004E-5</v>
      </c>
      <c r="N147" s="156"/>
    </row>
    <row r="148" spans="1:14" s="9" customFormat="1" x14ac:dyDescent="0.2">
      <c r="A148" s="144"/>
      <c r="B148" s="152"/>
      <c r="C148" s="50"/>
      <c r="D148" s="50">
        <f>C146+41836700</f>
        <v>6281663397</v>
      </c>
      <c r="E148" s="78"/>
      <c r="F148" s="79"/>
      <c r="G148" s="79"/>
      <c r="H148" s="79"/>
      <c r="I148" s="79"/>
      <c r="J148" s="80"/>
      <c r="K148" s="155"/>
      <c r="L148" s="79">
        <v>6.4832999999999994E-5</v>
      </c>
      <c r="M148" s="79"/>
      <c r="N148" s="157"/>
    </row>
    <row r="149" spans="1:14" s="9" customFormat="1" x14ac:dyDescent="0.2">
      <c r="A149" s="142">
        <v>411</v>
      </c>
      <c r="B149" s="162" t="s">
        <v>36</v>
      </c>
      <c r="C149" s="48">
        <v>7519628271</v>
      </c>
      <c r="D149" s="48"/>
      <c r="E149" s="86"/>
      <c r="F149" s="70"/>
      <c r="G149" s="70"/>
      <c r="H149" s="70">
        <v>2.2539999999999999E-6</v>
      </c>
      <c r="I149" s="70"/>
      <c r="J149" s="71"/>
      <c r="K149" s="145">
        <f>SUM(E149:I151)</f>
        <v>7.0821300000000007E-4</v>
      </c>
      <c r="L149" s="70"/>
      <c r="M149" s="70"/>
      <c r="N149" s="149">
        <f>SUM(K149:M151)</f>
        <v>1.490168E-3</v>
      </c>
    </row>
    <row r="150" spans="1:14" s="9" customFormat="1" x14ac:dyDescent="0.2">
      <c r="A150" s="143"/>
      <c r="B150" s="163"/>
      <c r="C150" s="16"/>
      <c r="D150" s="16">
        <f>C149+554495216</f>
        <v>8074123487</v>
      </c>
      <c r="E150" s="74"/>
      <c r="F150" s="75">
        <v>7.0595900000000004E-4</v>
      </c>
      <c r="G150" s="75"/>
      <c r="H150" s="75"/>
      <c r="I150" s="75"/>
      <c r="J150" s="76"/>
      <c r="K150" s="154"/>
      <c r="L150" s="75">
        <v>1.93656E-4</v>
      </c>
      <c r="M150" s="75">
        <v>5.8829900000000003E-4</v>
      </c>
      <c r="N150" s="156"/>
    </row>
    <row r="151" spans="1:14" s="9" customFormat="1" x14ac:dyDescent="0.2">
      <c r="A151" s="144"/>
      <c r="B151" s="164"/>
      <c r="C151" s="50"/>
      <c r="D151" s="50">
        <f>C149+554495216</f>
        <v>8074123487</v>
      </c>
      <c r="E151" s="78"/>
      <c r="F151" s="79"/>
      <c r="G151" s="79"/>
      <c r="H151" s="79"/>
      <c r="I151" s="79"/>
      <c r="J151" s="80"/>
      <c r="K151" s="155"/>
      <c r="L151" s="79"/>
      <c r="M151" s="79"/>
      <c r="N151" s="157"/>
    </row>
    <row r="152" spans="1:14" s="9" customFormat="1" x14ac:dyDescent="0.2">
      <c r="A152" s="142">
        <v>412</v>
      </c>
      <c r="B152" s="160" t="s">
        <v>96</v>
      </c>
      <c r="C152" s="48">
        <v>1086146984</v>
      </c>
      <c r="D152" s="48"/>
      <c r="E152" s="86"/>
      <c r="F152" s="70"/>
      <c r="G152" s="70"/>
      <c r="H152" s="70">
        <v>1.0113E-5</v>
      </c>
      <c r="I152" s="70"/>
      <c r="J152" s="71"/>
      <c r="K152" s="171">
        <f>SUM(E152:I154)</f>
        <v>1.0113E-5</v>
      </c>
      <c r="L152" s="70"/>
      <c r="M152" s="70"/>
      <c r="N152" s="165">
        <f>SUM(K152:M154)</f>
        <v>1.0113E-5</v>
      </c>
    </row>
    <row r="153" spans="1:14" s="9" customFormat="1" x14ac:dyDescent="0.2">
      <c r="A153" s="169"/>
      <c r="B153" s="170"/>
      <c r="C153" s="16"/>
      <c r="D153" s="16">
        <f>C152+38562741</f>
        <v>1124709725</v>
      </c>
      <c r="E153" s="74"/>
      <c r="F153" s="75"/>
      <c r="G153" s="75"/>
      <c r="H153" s="75"/>
      <c r="I153" s="75"/>
      <c r="J153" s="76"/>
      <c r="K153" s="172"/>
      <c r="L153" s="75"/>
      <c r="M153" s="75"/>
      <c r="N153" s="167"/>
    </row>
    <row r="154" spans="1:14" s="9" customFormat="1" x14ac:dyDescent="0.2">
      <c r="A154" s="144"/>
      <c r="B154" s="164"/>
      <c r="C154" s="50"/>
      <c r="D154" s="50">
        <f>C152+6629224</f>
        <v>1092776208</v>
      </c>
      <c r="E154" s="78"/>
      <c r="F154" s="79"/>
      <c r="G154" s="79"/>
      <c r="H154" s="79"/>
      <c r="I154" s="79"/>
      <c r="J154" s="80"/>
      <c r="K154" s="173"/>
      <c r="L154" s="79"/>
      <c r="M154" s="79"/>
      <c r="N154" s="168"/>
    </row>
    <row r="155" spans="1:14" s="9" customFormat="1" x14ac:dyDescent="0.2">
      <c r="A155" s="87">
        <v>413</v>
      </c>
      <c r="B155" s="93" t="s">
        <v>37</v>
      </c>
      <c r="C155" s="63">
        <v>1000324460</v>
      </c>
      <c r="D155" s="63"/>
      <c r="E155" s="89"/>
      <c r="F155" s="90">
        <v>4.62881E-4</v>
      </c>
      <c r="G155" s="90"/>
      <c r="H155" s="90"/>
      <c r="I155" s="90"/>
      <c r="J155" s="91"/>
      <c r="K155" s="90">
        <f t="shared" si="4"/>
        <v>4.62881E-4</v>
      </c>
      <c r="L155" s="90"/>
      <c r="M155" s="90"/>
      <c r="N155" s="92">
        <f t="shared" si="5"/>
        <v>4.62881E-4</v>
      </c>
    </row>
    <row r="156" spans="1:14" s="9" customFormat="1" x14ac:dyDescent="0.2">
      <c r="A156" s="87">
        <v>414</v>
      </c>
      <c r="B156" s="93" t="s">
        <v>38</v>
      </c>
      <c r="C156" s="63">
        <v>1197665752</v>
      </c>
      <c r="D156" s="63"/>
      <c r="E156" s="89"/>
      <c r="F156" s="90">
        <v>6.6796599999999998E-4</v>
      </c>
      <c r="G156" s="90"/>
      <c r="H156" s="90">
        <v>4.7958999999999999E-5</v>
      </c>
      <c r="I156" s="90"/>
      <c r="J156" s="91"/>
      <c r="K156" s="90">
        <f t="shared" si="4"/>
        <v>7.1592499999999996E-4</v>
      </c>
      <c r="L156" s="90">
        <v>7.1297999999999994E-5</v>
      </c>
      <c r="M156" s="90">
        <v>2.5048699999999998E-4</v>
      </c>
      <c r="N156" s="92">
        <f t="shared" si="5"/>
        <v>1.0377099999999998E-3</v>
      </c>
    </row>
    <row r="157" spans="1:14" s="9" customFormat="1" x14ac:dyDescent="0.2">
      <c r="A157" s="87">
        <v>415</v>
      </c>
      <c r="B157" s="93" t="s">
        <v>39</v>
      </c>
      <c r="C157" s="63">
        <v>232395474</v>
      </c>
      <c r="D157" s="63"/>
      <c r="E157" s="89"/>
      <c r="F157" s="90">
        <v>5.7167199999999996E-4</v>
      </c>
      <c r="G157" s="90"/>
      <c r="H157" s="90">
        <v>8.6601999999999995E-5</v>
      </c>
      <c r="I157" s="90">
        <v>1.9626000000000001E-5</v>
      </c>
      <c r="J157" s="91" t="s">
        <v>131</v>
      </c>
      <c r="K157" s="90">
        <f t="shared" si="4"/>
        <v>6.7789999999999994E-4</v>
      </c>
      <c r="L157" s="90"/>
      <c r="M157" s="90">
        <v>8.6060200000000002E-4</v>
      </c>
      <c r="N157" s="92">
        <f t="shared" si="5"/>
        <v>1.538502E-3</v>
      </c>
    </row>
    <row r="158" spans="1:14" s="9" customFormat="1" x14ac:dyDescent="0.2">
      <c r="A158" s="87">
        <v>416</v>
      </c>
      <c r="B158" s="93" t="s">
        <v>114</v>
      </c>
      <c r="C158" s="63">
        <v>33209431</v>
      </c>
      <c r="D158" s="63"/>
      <c r="E158" s="89"/>
      <c r="F158" s="90"/>
      <c r="G158" s="90"/>
      <c r="H158" s="90"/>
      <c r="I158" s="90"/>
      <c r="J158" s="91"/>
      <c r="K158" s="90">
        <f t="shared" si="4"/>
        <v>0</v>
      </c>
      <c r="L158" s="90">
        <v>8.3099900000000002E-4</v>
      </c>
      <c r="M158" s="90"/>
      <c r="N158" s="92">
        <f t="shared" si="5"/>
        <v>8.3099900000000002E-4</v>
      </c>
    </row>
    <row r="159" spans="1:14" s="9" customFormat="1" x14ac:dyDescent="0.2">
      <c r="A159" s="87">
        <v>417</v>
      </c>
      <c r="B159" s="88" t="s">
        <v>97</v>
      </c>
      <c r="C159" s="63">
        <v>231296717</v>
      </c>
      <c r="D159" s="63"/>
      <c r="E159" s="89"/>
      <c r="F159" s="90">
        <v>8.1905200000000002E-4</v>
      </c>
      <c r="G159" s="90"/>
      <c r="H159" s="90">
        <v>1.55778E-4</v>
      </c>
      <c r="I159" s="90"/>
      <c r="J159" s="91"/>
      <c r="K159" s="90">
        <f t="shared" si="4"/>
        <v>9.7482999999999999E-4</v>
      </c>
      <c r="L159" s="90"/>
      <c r="M159" s="90"/>
      <c r="N159" s="92">
        <f t="shared" si="5"/>
        <v>9.7482999999999999E-4</v>
      </c>
    </row>
    <row r="160" spans="1:14" s="9" customFormat="1" x14ac:dyDescent="0.2">
      <c r="A160" s="87">
        <v>418</v>
      </c>
      <c r="B160" s="93" t="s">
        <v>98</v>
      </c>
      <c r="C160" s="63">
        <v>245365095</v>
      </c>
      <c r="D160" s="63"/>
      <c r="E160" s="89"/>
      <c r="F160" s="90"/>
      <c r="G160" s="90"/>
      <c r="H160" s="90"/>
      <c r="I160" s="90">
        <v>7.1699999999999997E-7</v>
      </c>
      <c r="J160" s="91" t="s">
        <v>131</v>
      </c>
      <c r="K160" s="90">
        <f t="shared" si="4"/>
        <v>7.1699999999999997E-7</v>
      </c>
      <c r="L160" s="90">
        <v>3.1779200000000001E-4</v>
      </c>
      <c r="M160" s="90">
        <v>7.1322300000000003E-4</v>
      </c>
      <c r="N160" s="92">
        <f t="shared" si="5"/>
        <v>1.031732E-3</v>
      </c>
    </row>
    <row r="161" spans="1:14" s="9" customFormat="1" x14ac:dyDescent="0.2">
      <c r="A161" s="142">
        <v>421</v>
      </c>
      <c r="B161" s="147" t="s">
        <v>99</v>
      </c>
      <c r="C161" s="48">
        <v>10367496113</v>
      </c>
      <c r="D161" s="48"/>
      <c r="E161" s="70">
        <v>5.4581300000000003E-4</v>
      </c>
      <c r="F161" s="70"/>
      <c r="G161" s="70"/>
      <c r="H161" s="70">
        <v>3.332E-6</v>
      </c>
      <c r="I161" s="70"/>
      <c r="J161" s="71"/>
      <c r="K161" s="145">
        <f>SUM(E161:I162)</f>
        <v>6.1131100000000002E-4</v>
      </c>
      <c r="L161" s="70"/>
      <c r="M161" s="70"/>
      <c r="N161" s="149">
        <f>SUM(K161:M162)</f>
        <v>7.6843099999999998E-4</v>
      </c>
    </row>
    <row r="162" spans="1:14" s="9" customFormat="1" x14ac:dyDescent="0.2">
      <c r="A162" s="144"/>
      <c r="B162" s="152"/>
      <c r="C162" s="50"/>
      <c r="D162" s="50">
        <f>C161+88453167</f>
        <v>10455949280</v>
      </c>
      <c r="E162" s="79"/>
      <c r="F162" s="79">
        <v>6.2166000000000001E-5</v>
      </c>
      <c r="G162" s="79"/>
      <c r="H162" s="79"/>
      <c r="I162" s="79"/>
      <c r="J162" s="80"/>
      <c r="K162" s="155"/>
      <c r="L162" s="79">
        <v>1.5711999999999999E-4</v>
      </c>
      <c r="M162" s="79"/>
      <c r="N162" s="157"/>
    </row>
    <row r="163" spans="1:14" s="9" customFormat="1" x14ac:dyDescent="0.2">
      <c r="A163" s="87">
        <v>422</v>
      </c>
      <c r="B163" s="93" t="s">
        <v>40</v>
      </c>
      <c r="C163" s="63">
        <v>1588624876</v>
      </c>
      <c r="D163" s="63"/>
      <c r="E163" s="89"/>
      <c r="F163" s="90">
        <v>4.0915899999999998E-4</v>
      </c>
      <c r="G163" s="90"/>
      <c r="H163" s="90">
        <v>6.4869999999999999E-6</v>
      </c>
      <c r="I163" s="90"/>
      <c r="J163" s="91"/>
      <c r="K163" s="90">
        <f t="shared" si="4"/>
        <v>4.1564599999999998E-4</v>
      </c>
      <c r="L163" s="90">
        <v>5.8418000000000002E-5</v>
      </c>
      <c r="M163" s="90"/>
      <c r="N163" s="92">
        <f t="shared" si="5"/>
        <v>4.7406400000000001E-4</v>
      </c>
    </row>
    <row r="164" spans="1:14" s="9" customFormat="1" x14ac:dyDescent="0.2">
      <c r="A164" s="87">
        <v>431</v>
      </c>
      <c r="B164" s="93" t="s">
        <v>41</v>
      </c>
      <c r="C164" s="63">
        <v>928056020</v>
      </c>
      <c r="D164" s="63"/>
      <c r="E164" s="89"/>
      <c r="F164" s="90"/>
      <c r="G164" s="90"/>
      <c r="H164" s="90">
        <v>2.5717000000000001E-5</v>
      </c>
      <c r="I164" s="90">
        <v>1.6500000000000001E-7</v>
      </c>
      <c r="J164" s="91" t="s">
        <v>131</v>
      </c>
      <c r="K164" s="90">
        <f t="shared" si="4"/>
        <v>2.5882000000000001E-5</v>
      </c>
      <c r="L164" s="90"/>
      <c r="M164" s="90">
        <v>2.98566E-4</v>
      </c>
      <c r="N164" s="92">
        <f t="shared" si="5"/>
        <v>3.2444800000000002E-4</v>
      </c>
    </row>
    <row r="165" spans="1:14" s="9" customFormat="1" x14ac:dyDescent="0.2">
      <c r="A165" s="87">
        <v>432</v>
      </c>
      <c r="B165" s="88" t="s">
        <v>100</v>
      </c>
      <c r="C165" s="63">
        <v>308691190</v>
      </c>
      <c r="D165" s="63"/>
      <c r="E165" s="89"/>
      <c r="F165" s="90">
        <v>8.5066000000000002E-5</v>
      </c>
      <c r="G165" s="90"/>
      <c r="H165" s="90">
        <v>6.2550000000000003E-6</v>
      </c>
      <c r="I165" s="90"/>
      <c r="J165" s="91"/>
      <c r="K165" s="90">
        <f t="shared" si="4"/>
        <v>9.1321000000000002E-5</v>
      </c>
      <c r="L165" s="90"/>
      <c r="M165" s="90"/>
      <c r="N165" s="92">
        <f t="shared" si="5"/>
        <v>9.1321000000000002E-5</v>
      </c>
    </row>
    <row r="166" spans="1:14" s="9" customFormat="1" x14ac:dyDescent="0.2">
      <c r="A166" s="87">
        <v>433</v>
      </c>
      <c r="B166" s="93" t="s">
        <v>42</v>
      </c>
      <c r="C166" s="63">
        <v>206350123</v>
      </c>
      <c r="D166" s="63"/>
      <c r="E166" s="89"/>
      <c r="F166" s="90"/>
      <c r="G166" s="90"/>
      <c r="H166" s="90">
        <v>4.3349000000000001E-5</v>
      </c>
      <c r="I166" s="90">
        <v>5.0000000000000001E-9</v>
      </c>
      <c r="J166" s="91" t="s">
        <v>131</v>
      </c>
      <c r="K166" s="90">
        <f t="shared" si="4"/>
        <v>4.3353999999999999E-5</v>
      </c>
      <c r="L166" s="90"/>
      <c r="M166" s="90"/>
      <c r="N166" s="92">
        <f t="shared" si="5"/>
        <v>4.3353999999999999E-5</v>
      </c>
    </row>
    <row r="167" spans="1:14" s="9" customFormat="1" x14ac:dyDescent="0.2">
      <c r="A167" s="39"/>
      <c r="B167" s="40" t="s">
        <v>105</v>
      </c>
      <c r="C167" s="5">
        <f>SUM(C3:C166)</f>
        <v>362554177110</v>
      </c>
      <c r="D167" s="8"/>
      <c r="E167" s="65"/>
      <c r="F167" s="65"/>
      <c r="G167" s="65"/>
      <c r="H167" s="65"/>
      <c r="I167" s="65"/>
      <c r="J167" s="81"/>
      <c r="K167" s="65"/>
      <c r="L167" s="65"/>
      <c r="M167" s="65"/>
      <c r="N167" s="12"/>
    </row>
    <row r="168" spans="1:14" x14ac:dyDescent="0.2">
      <c r="B168" s="2"/>
      <c r="G168" s="14"/>
    </row>
  </sheetData>
  <mergeCells count="154">
    <mergeCell ref="A161:A162"/>
    <mergeCell ref="B161:B162"/>
    <mergeCell ref="K161:K162"/>
    <mergeCell ref="N161:N162"/>
    <mergeCell ref="N90:N92"/>
    <mergeCell ref="A70:A71"/>
    <mergeCell ref="B70:B71"/>
    <mergeCell ref="A2:B2"/>
    <mergeCell ref="I2:J2"/>
    <mergeCell ref="N40:N41"/>
    <mergeCell ref="B20:B21"/>
    <mergeCell ref="K20:K21"/>
    <mergeCell ref="A3:A5"/>
    <mergeCell ref="B3:B5"/>
    <mergeCell ref="A38:A39"/>
    <mergeCell ref="N3:N5"/>
    <mergeCell ref="K35:K36"/>
    <mergeCell ref="K9:K10"/>
    <mergeCell ref="N9:N10"/>
    <mergeCell ref="N31:N32"/>
    <mergeCell ref="B24:B25"/>
    <mergeCell ref="N33:N34"/>
    <mergeCell ref="B9:B10"/>
    <mergeCell ref="A20:A21"/>
    <mergeCell ref="B31:B32"/>
    <mergeCell ref="K14:K15"/>
    <mergeCell ref="A35:A36"/>
    <mergeCell ref="B35:B36"/>
    <mergeCell ref="A33:A34"/>
    <mergeCell ref="A14:A15"/>
    <mergeCell ref="K33:K34"/>
    <mergeCell ref="K3:K5"/>
    <mergeCell ref="K74:K76"/>
    <mergeCell ref="A6:A8"/>
    <mergeCell ref="B6:B8"/>
    <mergeCell ref="A9:A10"/>
    <mergeCell ref="A24:A25"/>
    <mergeCell ref="A26:A27"/>
    <mergeCell ref="B62:B63"/>
    <mergeCell ref="A56:A58"/>
    <mergeCell ref="B26:B27"/>
    <mergeCell ref="B14:B15"/>
    <mergeCell ref="A31:A32"/>
    <mergeCell ref="B33:B34"/>
    <mergeCell ref="B50:B51"/>
    <mergeCell ref="A47:A48"/>
    <mergeCell ref="A40:A41"/>
    <mergeCell ref="B38:B39"/>
    <mergeCell ref="K6:K8"/>
    <mergeCell ref="N6:N8"/>
    <mergeCell ref="N38:N39"/>
    <mergeCell ref="N44:N46"/>
    <mergeCell ref="K50:K51"/>
    <mergeCell ref="K24:K25"/>
    <mergeCell ref="N35:N36"/>
    <mergeCell ref="K40:K41"/>
    <mergeCell ref="K31:K32"/>
    <mergeCell ref="K44:K46"/>
    <mergeCell ref="K38:K39"/>
    <mergeCell ref="N24:N25"/>
    <mergeCell ref="K26:K27"/>
    <mergeCell ref="N26:N27"/>
    <mergeCell ref="N14:N15"/>
    <mergeCell ref="N20:N21"/>
    <mergeCell ref="N47:N48"/>
    <mergeCell ref="K149:K151"/>
    <mergeCell ref="B103:B104"/>
    <mergeCell ref="K86:K87"/>
    <mergeCell ref="B134:B135"/>
    <mergeCell ref="B99:B100"/>
    <mergeCell ref="A101:A102"/>
    <mergeCell ref="A99:A100"/>
    <mergeCell ref="B121:B122"/>
    <mergeCell ref="A103:A104"/>
    <mergeCell ref="B101:B102"/>
    <mergeCell ref="B118:B120"/>
    <mergeCell ref="A118:A120"/>
    <mergeCell ref="K94:K95"/>
    <mergeCell ref="A90:A92"/>
    <mergeCell ref="K90:K92"/>
    <mergeCell ref="B94:B95"/>
    <mergeCell ref="B90:B92"/>
    <mergeCell ref="K99:K100"/>
    <mergeCell ref="N152:N154"/>
    <mergeCell ref="K103:K104"/>
    <mergeCell ref="N103:N104"/>
    <mergeCell ref="A149:A151"/>
    <mergeCell ref="A121:A122"/>
    <mergeCell ref="A134:A135"/>
    <mergeCell ref="K138:K139"/>
    <mergeCell ref="B138:B139"/>
    <mergeCell ref="N138:N139"/>
    <mergeCell ref="B149:B151"/>
    <mergeCell ref="N149:N151"/>
    <mergeCell ref="A138:A139"/>
    <mergeCell ref="N134:N135"/>
    <mergeCell ref="B123:B124"/>
    <mergeCell ref="A146:A148"/>
    <mergeCell ref="B146:B148"/>
    <mergeCell ref="K146:K148"/>
    <mergeCell ref="N146:N148"/>
    <mergeCell ref="K134:K135"/>
    <mergeCell ref="A123:A124"/>
    <mergeCell ref="K125:K126"/>
    <mergeCell ref="A152:A154"/>
    <mergeCell ref="B152:B154"/>
    <mergeCell ref="K152:K154"/>
    <mergeCell ref="B52:B53"/>
    <mergeCell ref="K52:K53"/>
    <mergeCell ref="N52:N53"/>
    <mergeCell ref="B44:B46"/>
    <mergeCell ref="K121:K122"/>
    <mergeCell ref="A125:A126"/>
    <mergeCell ref="B125:B126"/>
    <mergeCell ref="N125:N126"/>
    <mergeCell ref="N99:N100"/>
    <mergeCell ref="N101:N102"/>
    <mergeCell ref="K123:K124"/>
    <mergeCell ref="N123:N124"/>
    <mergeCell ref="K118:K120"/>
    <mergeCell ref="N121:N122"/>
    <mergeCell ref="K101:K102"/>
    <mergeCell ref="N118:N120"/>
    <mergeCell ref="K62:K63"/>
    <mergeCell ref="A74:A76"/>
    <mergeCell ref="A83:A84"/>
    <mergeCell ref="N74:N76"/>
    <mergeCell ref="N62:N63"/>
    <mergeCell ref="N56:N58"/>
    <mergeCell ref="K56:K58"/>
    <mergeCell ref="A44:A46"/>
    <mergeCell ref="K47:K48"/>
    <mergeCell ref="B47:B48"/>
    <mergeCell ref="N50:N51"/>
    <mergeCell ref="A50:A51"/>
    <mergeCell ref="B40:B41"/>
    <mergeCell ref="A96:A98"/>
    <mergeCell ref="B96:B98"/>
    <mergeCell ref="K96:K98"/>
    <mergeCell ref="N96:N98"/>
    <mergeCell ref="A62:A63"/>
    <mergeCell ref="N94:N95"/>
    <mergeCell ref="B83:B84"/>
    <mergeCell ref="A86:A87"/>
    <mergeCell ref="B86:B87"/>
    <mergeCell ref="A94:A95"/>
    <mergeCell ref="K70:K71"/>
    <mergeCell ref="N70:N71"/>
    <mergeCell ref="B74:B76"/>
    <mergeCell ref="N86:N87"/>
    <mergeCell ref="K83:K84"/>
    <mergeCell ref="N83:N84"/>
    <mergeCell ref="B56:B58"/>
    <mergeCell ref="A52:A53"/>
  </mergeCells>
  <phoneticPr fontId="0" type="noConversion"/>
  <printOptions horizontalCentered="1" gridLines="1"/>
  <pageMargins left="0" right="0" top="1" bottom="0.5" header="0.4" footer="0.25"/>
  <pageSetup paperSize="5" scale="96" fitToHeight="0" orientation="landscape" blackAndWhite="1" r:id="rId1"/>
  <headerFooter alignWithMargins="0">
    <oddHeader>&amp;C&amp;12TAX LEVIES FOR SCHOOL PURPOSES
As Certified by Boards of County Commissioners
for School Year 2024-2025
&amp;RIdaho Department of Education</oddHeader>
  </headerFooter>
  <rowBreaks count="2" manualBreakCount="2">
    <brk id="36" max="13" man="1"/>
    <brk id="7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9A9E-EE30-4F6C-BDBB-F25453232E4C}">
  <sheetPr codeName="Sheet2"/>
  <dimension ref="A1:V180"/>
  <sheetViews>
    <sheetView zoomScaleNormal="100" workbookViewId="0">
      <pane xSplit="2" ySplit="2" topLeftCell="C3" activePane="bottomRight" state="frozen"/>
      <selection activeCell="H2" sqref="H2"/>
      <selection pane="topRight" activeCell="H2" sqref="H2"/>
      <selection pane="bottomLeft" activeCell="H2" sqref="H2"/>
      <selection pane="bottomRight" activeCell="L6" sqref="L6"/>
    </sheetView>
  </sheetViews>
  <sheetFormatPr defaultRowHeight="12.75" x14ac:dyDescent="0.2"/>
  <cols>
    <col min="1" max="1" width="4" style="2" bestFit="1" customWidth="1"/>
    <col min="2" max="2" width="19.5703125" style="2" customWidth="1"/>
    <col min="3" max="3" width="17" style="2" bestFit="1" customWidth="1"/>
    <col min="4" max="4" width="17" style="2" customWidth="1"/>
    <col min="5" max="8" width="13.42578125" style="2" customWidth="1"/>
    <col min="9" max="9" width="11.5703125" style="2" customWidth="1"/>
    <col min="10" max="10" width="2.5703125" style="7" customWidth="1"/>
    <col min="11" max="14" width="13.42578125" style="2" customWidth="1"/>
    <col min="15" max="15" width="9.140625" style="2" customWidth="1"/>
    <col min="16" max="18" width="21.28515625" style="2" customWidth="1"/>
    <col min="19" max="16384" width="9.140625" style="2"/>
  </cols>
  <sheetData>
    <row r="1" spans="1:18" x14ac:dyDescent="0.2">
      <c r="P1" s="267" t="s">
        <v>221</v>
      </c>
      <c r="Q1" s="267"/>
      <c r="R1" s="267"/>
    </row>
    <row r="2" spans="1:18" ht="89.25" customHeight="1" x14ac:dyDescent="0.2">
      <c r="A2" s="188" t="s">
        <v>103</v>
      </c>
      <c r="B2" s="225"/>
      <c r="C2" s="1" t="s">
        <v>104</v>
      </c>
      <c r="D2" s="1" t="s">
        <v>129</v>
      </c>
      <c r="E2" s="1" t="s">
        <v>119</v>
      </c>
      <c r="F2" s="1" t="s">
        <v>120</v>
      </c>
      <c r="G2" s="1" t="s">
        <v>121</v>
      </c>
      <c r="H2" s="1" t="s">
        <v>122</v>
      </c>
      <c r="I2" s="226" t="s">
        <v>123</v>
      </c>
      <c r="J2" s="227"/>
      <c r="K2" s="1" t="s">
        <v>124</v>
      </c>
      <c r="L2" s="1" t="s">
        <v>125</v>
      </c>
      <c r="M2" s="1" t="s">
        <v>126</v>
      </c>
      <c r="N2" s="1" t="s">
        <v>127</v>
      </c>
      <c r="O2" s="45"/>
      <c r="P2" s="67" t="s">
        <v>227</v>
      </c>
      <c r="Q2" s="67" t="s">
        <v>225</v>
      </c>
      <c r="R2" s="67" t="s">
        <v>226</v>
      </c>
    </row>
    <row r="3" spans="1:18" x14ac:dyDescent="0.2">
      <c r="A3" s="193">
        <f>'Levy Rate'!A3</f>
        <v>1</v>
      </c>
      <c r="B3" s="195" t="str">
        <f>'Levy Rate'!B3</f>
        <v>Boise Independent</v>
      </c>
      <c r="C3" s="48">
        <f>'Levy Rate'!C3</f>
        <v>45051266679</v>
      </c>
      <c r="D3" s="4">
        <f>'Levy Rate'!D3</f>
        <v>0</v>
      </c>
      <c r="E3" s="4">
        <f>ROUND($C3*'Levy Rate'!E3,0)+19</f>
        <v>115000000</v>
      </c>
      <c r="F3" s="4">
        <f>ROUND($C3*'Levy Rate'!F3,0)-10</f>
        <v>10708000</v>
      </c>
      <c r="G3" s="4">
        <f>ROUND($C3*'Levy Rate'!G3,0)</f>
        <v>0</v>
      </c>
      <c r="H3" s="4">
        <f>ROUND($C3*'Levy Rate'!H3,0)-12</f>
        <v>267277</v>
      </c>
      <c r="I3" s="4">
        <f>ROUND($C3*'Levy Rate'!I3,0)</f>
        <v>0</v>
      </c>
      <c r="J3" s="49" t="str">
        <f>IF('Levy Rate'!J3="","",'Levy Rate'!J3)</f>
        <v/>
      </c>
      <c r="K3" s="230">
        <f>SUM(E3:I5)</f>
        <v>126010250</v>
      </c>
      <c r="L3" s="4">
        <f>ROUND($C3*'Levy Rate'!L3,0)</f>
        <v>0</v>
      </c>
      <c r="M3" s="4">
        <f>ROUND($C3*'Levy Rate'!M3,0)</f>
        <v>0</v>
      </c>
      <c r="N3" s="228">
        <f>SUM(K3:M5)</f>
        <v>126010250</v>
      </c>
      <c r="O3" s="127"/>
      <c r="P3" s="243">
        <f>4166625+2998294</f>
        <v>7164919</v>
      </c>
      <c r="Q3" s="268"/>
      <c r="R3" s="246"/>
    </row>
    <row r="4" spans="1:18" x14ac:dyDescent="0.2">
      <c r="A4" s="214"/>
      <c r="B4" s="212"/>
      <c r="C4" s="16">
        <f>'[1]Levy Rate'!C4</f>
        <v>0</v>
      </c>
      <c r="D4" s="16">
        <f>'Levy Rate'!D4</f>
        <v>48966133528</v>
      </c>
      <c r="E4" s="16">
        <f>ROUND($D4*'Levy Rate'!E4,0)</f>
        <v>0</v>
      </c>
      <c r="F4" s="16">
        <f>ROUND($D4*'Levy Rate'!F4,0)</f>
        <v>0</v>
      </c>
      <c r="G4" s="16">
        <f>ROUND($D4*'Levy Rate'!G4,0)</f>
        <v>0</v>
      </c>
      <c r="H4" s="16">
        <f>ROUND($D4*'Levy Rate'!H4,0)</f>
        <v>0</v>
      </c>
      <c r="I4" s="16">
        <f>ROUND($D4*'Levy Rate'!I4,0)+11</f>
        <v>34973</v>
      </c>
      <c r="J4" s="46" t="s">
        <v>131</v>
      </c>
      <c r="K4" s="231"/>
      <c r="L4" s="136">
        <f>ROUND($D4*'Levy Rate'!L4,0)</f>
        <v>0</v>
      </c>
      <c r="M4" s="16">
        <f>ROUND($D4*'Levy Rate'!M4,0)</f>
        <v>0</v>
      </c>
      <c r="N4" s="229"/>
      <c r="O4" s="127"/>
      <c r="P4" s="244"/>
      <c r="Q4" s="269"/>
      <c r="R4" s="247"/>
    </row>
    <row r="5" spans="1:18" x14ac:dyDescent="0.2">
      <c r="A5" s="202"/>
      <c r="B5" s="213"/>
      <c r="C5" s="50"/>
      <c r="D5" s="50">
        <f>'Levy Rate'!D5</f>
        <v>46753927078</v>
      </c>
      <c r="E5" s="50"/>
      <c r="F5" s="50">
        <f>ROUND($D5*'Levy Rate'!F5,0)</f>
        <v>0</v>
      </c>
      <c r="G5" s="50"/>
      <c r="H5" s="50"/>
      <c r="I5" s="50"/>
      <c r="J5" s="51"/>
      <c r="K5" s="202"/>
      <c r="L5" s="52">
        <f>ROUND($D5*'Levy Rate'!L5,0)</f>
        <v>0</v>
      </c>
      <c r="M5" s="50"/>
      <c r="N5" s="199"/>
      <c r="O5" s="127"/>
      <c r="P5" s="245"/>
      <c r="Q5" s="270"/>
      <c r="R5" s="248"/>
    </row>
    <row r="6" spans="1:18" x14ac:dyDescent="0.2">
      <c r="A6" s="214">
        <f>'Levy Rate'!A6:A7</f>
        <v>2</v>
      </c>
      <c r="B6" s="212" t="str">
        <f>'Levy Rate'!B6</f>
        <v>West Ada Joint</v>
      </c>
      <c r="C6" s="16">
        <f>'Levy Rate'!C6</f>
        <v>54387159324</v>
      </c>
      <c r="D6" s="16">
        <f>'Levy Rate'!D6</f>
        <v>0</v>
      </c>
      <c r="E6" s="53">
        <f>ROUND($C6*'Levy Rate'!E6,0)</f>
        <v>0</v>
      </c>
      <c r="F6" s="16">
        <f>ROUND($C6*'Levy Rate'!F6,0)</f>
        <v>0</v>
      </c>
      <c r="G6" s="16">
        <f>ROUND($C6*'Levy Rate'!G6,0)</f>
        <v>0</v>
      </c>
      <c r="H6" s="16">
        <f>ROUND($C6*'Levy Rate'!H6,0)-9</f>
        <v>607169</v>
      </c>
      <c r="I6" s="16">
        <f>ROUND($C6*'Levy Rate'!I6,0)</f>
        <v>0</v>
      </c>
      <c r="J6" s="46" t="str">
        <f>IF('Levy Rate'!J6="","",'Levy Rate'!J6)</f>
        <v/>
      </c>
      <c r="K6" s="201">
        <f>SUM(E6:I8)</f>
        <v>2540988</v>
      </c>
      <c r="L6" s="136">
        <f>ROUND($D6*'Levy Rate'!L6,0)</f>
        <v>0</v>
      </c>
      <c r="M6" s="136">
        <f>ROUND($C6*'Levy Rate'!M6,0)</f>
        <v>0</v>
      </c>
      <c r="N6" s="198">
        <f>SUM(K6:M8)</f>
        <v>18540988</v>
      </c>
      <c r="O6" s="45"/>
      <c r="P6" s="249">
        <v>8000000</v>
      </c>
      <c r="Q6" s="201">
        <v>11921661</v>
      </c>
      <c r="R6" s="198"/>
    </row>
    <row r="7" spans="1:18" x14ac:dyDescent="0.2">
      <c r="A7" s="214"/>
      <c r="B7" s="212">
        <f>'Levy Rate'!B7</f>
        <v>0</v>
      </c>
      <c r="C7" s="16">
        <f>'[1]Levy Rate'!C7</f>
        <v>0</v>
      </c>
      <c r="D7" s="16">
        <f>'Levy Rate'!D7</f>
        <v>55926458395</v>
      </c>
      <c r="E7" s="53">
        <f>ROUND($D7*'Levy Rate'!E7,0)</f>
        <v>0</v>
      </c>
      <c r="F7" s="16">
        <f>ROUND($D7*'Levy Rate'!F7,0)-21</f>
        <v>1928994</v>
      </c>
      <c r="G7" s="16">
        <f>ROUND($D7*'Levy Rate'!G7,0)</f>
        <v>0</v>
      </c>
      <c r="H7" s="16">
        <f>ROUND($D7*'Levy Rate'!H7,0)</f>
        <v>0</v>
      </c>
      <c r="I7" s="16">
        <f>ROUND($D7*'Levy Rate'!I7,0)+15</f>
        <v>4825</v>
      </c>
      <c r="J7" s="46" t="str">
        <f>IF('Levy Rate'!J7="","",'Levy Rate'!J7)</f>
        <v>j</v>
      </c>
      <c r="K7" s="201"/>
      <c r="L7" s="47">
        <f>ROUND($D7*'Levy Rate'!L7,0)</f>
        <v>0</v>
      </c>
      <c r="M7" s="16">
        <f>ROUND($D7*'Levy Rate'!M7,0)</f>
        <v>16000000</v>
      </c>
      <c r="N7" s="198"/>
      <c r="O7" s="45"/>
      <c r="P7" s="249"/>
      <c r="Q7" s="201"/>
      <c r="R7" s="198"/>
    </row>
    <row r="8" spans="1:18" x14ac:dyDescent="0.2">
      <c r="A8" s="202"/>
      <c r="B8" s="213"/>
      <c r="C8" s="50"/>
      <c r="D8" s="50">
        <f>'Levy Rate'!D8</f>
        <v>0</v>
      </c>
      <c r="E8" s="54"/>
      <c r="F8" s="55"/>
      <c r="G8" s="55"/>
      <c r="H8" s="50"/>
      <c r="I8" s="56"/>
      <c r="J8" s="51"/>
      <c r="K8" s="202"/>
      <c r="L8" s="52">
        <f>ROUND($D8*'Levy Rate'!L8,0)</f>
        <v>0</v>
      </c>
      <c r="M8" s="50"/>
      <c r="N8" s="199"/>
      <c r="O8" s="45"/>
      <c r="P8" s="245"/>
      <c r="Q8" s="202"/>
      <c r="R8" s="199"/>
    </row>
    <row r="9" spans="1:18" x14ac:dyDescent="0.2">
      <c r="A9" s="193">
        <f>'Levy Rate'!A9</f>
        <v>3</v>
      </c>
      <c r="B9" s="195" t="str">
        <f>'Levy Rate'!B9</f>
        <v>Kuna Joint</v>
      </c>
      <c r="C9" s="48">
        <f>'Levy Rate'!C9</f>
        <v>5617241041</v>
      </c>
      <c r="D9" s="48">
        <f>'Levy Rate'!D9</f>
        <v>0</v>
      </c>
      <c r="E9" s="57">
        <f>ROUND($C9*'Levy Rate'!E9,0)</f>
        <v>0</v>
      </c>
      <c r="F9" s="48">
        <f>ROUND($C9*'Levy Rate'!F9,0)</f>
        <v>0</v>
      </c>
      <c r="G9" s="48">
        <f>ROUND($C9*'Levy Rate'!G9,0)</f>
        <v>0</v>
      </c>
      <c r="H9" s="48">
        <f>ROUND($C9*'Levy Rate'!H9,0)+2</f>
        <v>130311</v>
      </c>
      <c r="I9" s="48">
        <f>ROUND($C9*'Levy Rate'!I9,0)</f>
        <v>0</v>
      </c>
      <c r="J9" s="49" t="str">
        <f>IF('Levy Rate'!J9="","",'Levy Rate'!J9)</f>
        <v/>
      </c>
      <c r="K9" s="216">
        <f>SUM(E9:I10)</f>
        <v>684762</v>
      </c>
      <c r="L9" s="138">
        <f>ROUND($C9*'Levy Rate'!L9,0)</f>
        <v>0</v>
      </c>
      <c r="M9" s="48">
        <f>ROUND($C9*'Levy Rate'!M9,0)</f>
        <v>0</v>
      </c>
      <c r="N9" s="218">
        <f>SUM(K9:M10)</f>
        <v>684762</v>
      </c>
      <c r="O9" s="45"/>
      <c r="P9" s="250"/>
      <c r="Q9" s="216"/>
      <c r="R9" s="218"/>
    </row>
    <row r="10" spans="1:18" x14ac:dyDescent="0.2">
      <c r="A10" s="202"/>
      <c r="B10" s="213"/>
      <c r="C10" s="50">
        <f>'Levy Rate'!C10</f>
        <v>0</v>
      </c>
      <c r="D10" s="50">
        <f>'Levy Rate'!D10</f>
        <v>5741126083</v>
      </c>
      <c r="E10" s="54"/>
      <c r="F10" s="50">
        <f>ROUND($D10*'Levy Rate'!F10,0)</f>
        <v>0</v>
      </c>
      <c r="G10" s="50">
        <f>ROUND($D10*'Levy Rate'!G10,0)+2</f>
        <v>554451</v>
      </c>
      <c r="H10" s="50"/>
      <c r="I10" s="50"/>
      <c r="J10" s="51"/>
      <c r="K10" s="213"/>
      <c r="L10" s="137">
        <f>ROUND($D10*'Levy Rate'!L10,0)</f>
        <v>0</v>
      </c>
      <c r="M10" s="50"/>
      <c r="N10" s="219"/>
      <c r="O10" s="45"/>
      <c r="P10" s="251"/>
      <c r="Q10" s="213"/>
      <c r="R10" s="219"/>
    </row>
    <row r="11" spans="1:18" x14ac:dyDescent="0.2">
      <c r="A11" s="61">
        <f>'Levy Rate'!A11</f>
        <v>11</v>
      </c>
      <c r="B11" s="62" t="str">
        <f>'Levy Rate'!B11</f>
        <v>Meadows Valley</v>
      </c>
      <c r="C11" s="63">
        <f>'Levy Rate'!C11</f>
        <v>739563337</v>
      </c>
      <c r="D11" s="63">
        <f>'Levy Rate'!D11</f>
        <v>0</v>
      </c>
      <c r="E11" s="64">
        <f>ROUND($C11*'Levy Rate'!E11,0)</f>
        <v>0</v>
      </c>
      <c r="F11" s="63">
        <f>ROUND($C11*'Levy Rate'!F11,0)</f>
        <v>259732</v>
      </c>
      <c r="G11" s="63">
        <f>ROUND($C11*'Levy Rate'!G11,0)</f>
        <v>0</v>
      </c>
      <c r="H11" s="63">
        <f>ROUND($C11*'Levy Rate'!H11,0)</f>
        <v>20023</v>
      </c>
      <c r="I11" s="63">
        <f>ROUND($C11*'Levy Rate'!I11,0)</f>
        <v>0</v>
      </c>
      <c r="J11" s="6" t="str">
        <f>IF('Levy Rate'!J11="","",'Levy Rate'!J11)</f>
        <v/>
      </c>
      <c r="K11" s="63">
        <f>SUM(E11:I11)</f>
        <v>279755</v>
      </c>
      <c r="L11" s="63">
        <f>ROUND($C11*'Levy Rate'!L11,0)</f>
        <v>0</v>
      </c>
      <c r="M11" s="63">
        <f>ROUND($C11*'Levy Rate'!M11,0)</f>
        <v>131340</v>
      </c>
      <c r="N11" s="116">
        <f>SUM(K11:M11)</f>
        <v>411095</v>
      </c>
      <c r="O11" s="45"/>
      <c r="P11" s="118"/>
      <c r="Q11" s="63">
        <v>65128</v>
      </c>
      <c r="R11" s="116"/>
    </row>
    <row r="12" spans="1:18" ht="11.65" customHeight="1" x14ac:dyDescent="0.2">
      <c r="A12" s="61">
        <f>'Levy Rate'!A12</f>
        <v>13</v>
      </c>
      <c r="B12" s="62" t="str">
        <f>'Levy Rate'!B12</f>
        <v>Council</v>
      </c>
      <c r="C12" s="63">
        <f>'Levy Rate'!C12</f>
        <v>478060242</v>
      </c>
      <c r="D12" s="63">
        <f>'Levy Rate'!D12</f>
        <v>0</v>
      </c>
      <c r="E12" s="64">
        <f>ROUND($C12*'Levy Rate'!E12,0)</f>
        <v>0</v>
      </c>
      <c r="F12" s="63">
        <f>ROUND($C12*'Levy Rate'!F12,0)</f>
        <v>0</v>
      </c>
      <c r="G12" s="63">
        <f>ROUND($C12*'Levy Rate'!G12,0)</f>
        <v>0</v>
      </c>
      <c r="H12" s="63">
        <f>ROUND($C12*'Levy Rate'!H12,0)</f>
        <v>18177</v>
      </c>
      <c r="I12" s="63">
        <f>ROUND($C12*'Levy Rate'!I12,0)</f>
        <v>0</v>
      </c>
      <c r="J12" s="6" t="str">
        <f>IF('Levy Rate'!J12="","",'Levy Rate'!J12)</f>
        <v/>
      </c>
      <c r="K12" s="63">
        <f>SUM(E12:I12)</f>
        <v>18177</v>
      </c>
      <c r="L12" s="63">
        <f>ROUND($C12*'Levy Rate'!L12,0)</f>
        <v>0</v>
      </c>
      <c r="M12" s="63">
        <f>ROUND($C12*'Levy Rate'!M12,0)</f>
        <v>0</v>
      </c>
      <c r="N12" s="116">
        <f>SUM(K12:M12)</f>
        <v>18177</v>
      </c>
      <c r="O12" s="45"/>
      <c r="P12" s="118"/>
      <c r="Q12" s="63">
        <v>130000</v>
      </c>
      <c r="R12" s="116"/>
    </row>
    <row r="13" spans="1:18" x14ac:dyDescent="0.2">
      <c r="A13" s="61">
        <f>'Levy Rate'!A13</f>
        <v>21</v>
      </c>
      <c r="B13" s="62" t="str">
        <f>'Levy Rate'!B13</f>
        <v>Marsh Valley Joint</v>
      </c>
      <c r="C13" s="63">
        <f>'Levy Rate'!C13</f>
        <v>1412321335</v>
      </c>
      <c r="D13" s="63">
        <f>'Levy Rate'!D13</f>
        <v>0</v>
      </c>
      <c r="E13" s="64">
        <f>ROUND($C13*'Levy Rate'!E13,0)</f>
        <v>0</v>
      </c>
      <c r="F13" s="63">
        <f>ROUND($C13*'Levy Rate'!F13,0)</f>
        <v>487869</v>
      </c>
      <c r="G13" s="63">
        <f>ROUND($C13*'Levy Rate'!G13,0)</f>
        <v>0</v>
      </c>
      <c r="H13" s="63">
        <f>ROUND($C13*'Levy Rate'!H13,0)</f>
        <v>6190</v>
      </c>
      <c r="I13" s="63">
        <f>ROUND($C13*'Levy Rate'!I13,0)</f>
        <v>0</v>
      </c>
      <c r="J13" s="6" t="str">
        <f>IF('Levy Rate'!J13="","",'Levy Rate'!J13)</f>
        <v/>
      </c>
      <c r="K13" s="63">
        <f>SUM(E13:I13)</f>
        <v>494059</v>
      </c>
      <c r="L13" s="63">
        <f>ROUND($C13*'Levy Rate'!L13,0)</f>
        <v>0</v>
      </c>
      <c r="M13" s="63">
        <f>ROUND($C13*'Levy Rate'!M13,0)</f>
        <v>900000</v>
      </c>
      <c r="N13" s="116">
        <f>SUM(K13:M13)</f>
        <v>1394059</v>
      </c>
      <c r="O13" s="45"/>
      <c r="P13" s="118"/>
      <c r="Q13" s="63">
        <v>612131</v>
      </c>
      <c r="R13" s="116"/>
    </row>
    <row r="14" spans="1:18" x14ac:dyDescent="0.2">
      <c r="A14" s="214">
        <f>'Levy Rate'!A14:A15</f>
        <v>25</v>
      </c>
      <c r="B14" s="232" t="str">
        <f>'Levy Rate'!B14:B15</f>
        <v>Pocatello</v>
      </c>
      <c r="C14" s="16">
        <f>'Levy Rate'!C14</f>
        <v>7464739555</v>
      </c>
      <c r="D14" s="16">
        <f>'Levy Rate'!D14</f>
        <v>0</v>
      </c>
      <c r="E14" s="53">
        <f>ROUND($C14*'Levy Rate'!E14,0)</f>
        <v>0</v>
      </c>
      <c r="F14" s="16">
        <f>ROUND($C14*'Levy Rate'!F14,0)</f>
        <v>0</v>
      </c>
      <c r="G14" s="16">
        <f>ROUND($C14*'Levy Rate'!G14,0)</f>
        <v>0</v>
      </c>
      <c r="H14" s="16">
        <f>ROUND($C14*'Levy Rate'!H14,0)</f>
        <v>0</v>
      </c>
      <c r="I14" s="16">
        <f>ROUND($C14*'Levy Rate'!I14,0)</f>
        <v>0</v>
      </c>
      <c r="J14" s="46" t="str">
        <f>IF('Levy Rate'!J14="","",'Levy Rate'!J14)</f>
        <v/>
      </c>
      <c r="K14" s="201">
        <f>SUM(E14:I15)</f>
        <v>2103394</v>
      </c>
      <c r="L14" s="16">
        <f>ROUND($C14*'Levy Rate'!L14,0)</f>
        <v>0</v>
      </c>
      <c r="M14" s="16">
        <f>ROUND($C14*'Levy Rate'!M14,0)</f>
        <v>0</v>
      </c>
      <c r="N14" s="198">
        <f>SUM(K14:M15)</f>
        <v>9169245</v>
      </c>
      <c r="O14" s="45"/>
      <c r="P14" s="249"/>
      <c r="Q14" s="201">
        <v>6139381</v>
      </c>
      <c r="R14" s="198"/>
    </row>
    <row r="15" spans="1:18" x14ac:dyDescent="0.2">
      <c r="A15" s="194"/>
      <c r="B15" s="221"/>
      <c r="C15" s="50">
        <f>'[1]Levy Rate'!C15</f>
        <v>0</v>
      </c>
      <c r="D15" s="50">
        <f>'Levy Rate'!D15</f>
        <v>7620973736</v>
      </c>
      <c r="E15" s="54">
        <f>ROUND($D15*'Levy Rate'!E15,0)</f>
        <v>0</v>
      </c>
      <c r="F15" s="50">
        <f>ROUND($D15*'Levy Rate'!F15,0)-2</f>
        <v>2103394</v>
      </c>
      <c r="G15" s="50">
        <f>ROUND($D15*'Levy Rate'!G15,0)</f>
        <v>0</v>
      </c>
      <c r="H15" s="50">
        <f>ROUND($D15*'Levy Rate'!H15,0)</f>
        <v>0</v>
      </c>
      <c r="I15" s="50">
        <f>ROUND($D15*'Levy Rate'!I15,0)</f>
        <v>0</v>
      </c>
      <c r="J15" s="51" t="str">
        <f>IF('Levy Rate'!J15="","",'Levy Rate'!J15)</f>
        <v/>
      </c>
      <c r="K15" s="210"/>
      <c r="L15" s="50">
        <f>ROUND($D15*'Levy Rate'!L15,0)</f>
        <v>0</v>
      </c>
      <c r="M15" s="50">
        <f>ROUND($D15*'Levy Rate'!M15,0)-3</f>
        <v>7065851</v>
      </c>
      <c r="N15" s="211"/>
      <c r="O15" s="45"/>
      <c r="P15" s="253"/>
      <c r="Q15" s="210"/>
      <c r="R15" s="211"/>
    </row>
    <row r="16" spans="1:18" x14ac:dyDescent="0.2">
      <c r="A16" s="61">
        <f>'Levy Rate'!A16</f>
        <v>33</v>
      </c>
      <c r="B16" s="62" t="str">
        <f>'Levy Rate'!B16</f>
        <v>Bear Lake County</v>
      </c>
      <c r="C16" s="63">
        <f>'Levy Rate'!C16</f>
        <v>2221511117</v>
      </c>
      <c r="D16" s="63">
        <f>'Levy Rate'!D16</f>
        <v>0</v>
      </c>
      <c r="E16" s="64">
        <f>ROUND($C16*'Levy Rate'!E16,0)</f>
        <v>0</v>
      </c>
      <c r="F16" s="63">
        <f>ROUND($C16*'Levy Rate'!F16,0)-1</f>
        <v>6113</v>
      </c>
      <c r="G16" s="63">
        <f>ROUND($C16*'Levy Rate'!G16,0)</f>
        <v>0</v>
      </c>
      <c r="H16" s="63">
        <f>ROUND($C16*'Levy Rate'!H16,0)-1</f>
        <v>90888</v>
      </c>
      <c r="I16" s="63">
        <f>ROUND($C16*'Levy Rate'!I16,0)</f>
        <v>0</v>
      </c>
      <c r="J16" s="6" t="str">
        <f>IF('Levy Rate'!J16="","",'Levy Rate'!J16)</f>
        <v/>
      </c>
      <c r="K16" s="63">
        <f>SUM(E16:I16)</f>
        <v>97001</v>
      </c>
      <c r="L16" s="63">
        <f>ROUND($C16*'Levy Rate'!L16,0)</f>
        <v>0</v>
      </c>
      <c r="M16" s="63">
        <f>ROUND($C16*'Levy Rate'!M16,0)-1</f>
        <v>400000</v>
      </c>
      <c r="N16" s="116">
        <f>SUM(K16:M16)</f>
        <v>497001</v>
      </c>
      <c r="O16" s="45"/>
      <c r="P16" s="118"/>
      <c r="Q16" s="63">
        <v>643887</v>
      </c>
      <c r="R16" s="116"/>
    </row>
    <row r="17" spans="1:18" x14ac:dyDescent="0.2">
      <c r="A17" s="61">
        <f>'Levy Rate'!A17</f>
        <v>41</v>
      </c>
      <c r="B17" s="62" t="str">
        <f>'Levy Rate'!B17</f>
        <v>St. Maries Joint</v>
      </c>
      <c r="C17" s="63">
        <f>'Levy Rate'!C17</f>
        <v>1082124182</v>
      </c>
      <c r="D17" s="63">
        <f>'Levy Rate'!D17</f>
        <v>0</v>
      </c>
      <c r="E17" s="64">
        <f>ROUND($C17*'Levy Rate'!E17,0)</f>
        <v>0</v>
      </c>
      <c r="F17" s="63">
        <f>ROUND($C17*'Levy Rate'!F17,0)</f>
        <v>1598407</v>
      </c>
      <c r="G17" s="63">
        <f>ROUND($C17*'Levy Rate'!G17,0)</f>
        <v>0</v>
      </c>
      <c r="H17" s="63">
        <f>ROUND($C17*'Levy Rate'!H17,0)</f>
        <v>24183</v>
      </c>
      <c r="I17" s="63">
        <f>ROUND($C17*'Levy Rate'!I17,0)</f>
        <v>0</v>
      </c>
      <c r="J17" s="6" t="str">
        <f>IF('Levy Rate'!J17="","",'Levy Rate'!J17)</f>
        <v/>
      </c>
      <c r="K17" s="63">
        <f>SUM(E17:I17)</f>
        <v>1622590</v>
      </c>
      <c r="L17" s="63">
        <f>ROUND($C17*'Levy Rate'!L17,0)</f>
        <v>0</v>
      </c>
      <c r="M17" s="63">
        <f>ROUND($C17*'Levy Rate'!M17,0)</f>
        <v>0</v>
      </c>
      <c r="N17" s="116">
        <f>SUM(K17:M17)</f>
        <v>1622590</v>
      </c>
      <c r="O17" s="45"/>
      <c r="P17" s="118"/>
      <c r="Q17" s="63">
        <v>474978</v>
      </c>
      <c r="R17" s="116"/>
    </row>
    <row r="18" spans="1:18" x14ac:dyDescent="0.2">
      <c r="A18" s="61">
        <f>'Levy Rate'!A18</f>
        <v>44</v>
      </c>
      <c r="B18" s="62" t="str">
        <f>'Levy Rate'!B18</f>
        <v>Plummer / Worley Jt</v>
      </c>
      <c r="C18" s="63">
        <f>'Levy Rate'!C18</f>
        <v>1273509196</v>
      </c>
      <c r="D18" s="63">
        <f>'Levy Rate'!D18</f>
        <v>0</v>
      </c>
      <c r="E18" s="64">
        <f>ROUND($C18*'Levy Rate'!E18,0)</f>
        <v>0</v>
      </c>
      <c r="F18" s="63">
        <f>ROUND($C18*'Levy Rate'!F18,0)</f>
        <v>0</v>
      </c>
      <c r="G18" s="63">
        <f>ROUND($C18*'Levy Rate'!G18,0)</f>
        <v>0</v>
      </c>
      <c r="H18" s="63">
        <f>ROUND($C18*'Levy Rate'!H18,0)</f>
        <v>24386</v>
      </c>
      <c r="I18" s="63">
        <f>ROUND($C18*'Levy Rate'!I18,0)</f>
        <v>0</v>
      </c>
      <c r="J18" s="6" t="str">
        <f>IF('Levy Rate'!J18="","",'Levy Rate'!J18)</f>
        <v/>
      </c>
      <c r="K18" s="63">
        <f>SUM(E18:I18)</f>
        <v>24386</v>
      </c>
      <c r="L18" s="63">
        <f>ROUND($C18*'Levy Rate'!L18,0)</f>
        <v>0</v>
      </c>
      <c r="M18" s="63">
        <f>ROUND($C18*'Levy Rate'!M18,0)</f>
        <v>0</v>
      </c>
      <c r="N18" s="116">
        <f>SUM(K18:M18)</f>
        <v>24386</v>
      </c>
      <c r="O18" s="45"/>
      <c r="P18" s="118"/>
      <c r="Q18" s="63"/>
      <c r="R18" s="116"/>
    </row>
    <row r="19" spans="1:18" x14ac:dyDescent="0.2">
      <c r="A19" s="61">
        <f>'Levy Rate'!A19</f>
        <v>52</v>
      </c>
      <c r="B19" s="62" t="str">
        <f>'Levy Rate'!B19</f>
        <v>Snake River</v>
      </c>
      <c r="C19" s="63">
        <f>'Levy Rate'!C19</f>
        <v>915157628</v>
      </c>
      <c r="D19" s="63">
        <f>'Levy Rate'!D19</f>
        <v>0</v>
      </c>
      <c r="E19" s="64">
        <f>ROUND($C19*'Levy Rate'!E19,0)</f>
        <v>0</v>
      </c>
      <c r="F19" s="63">
        <f>ROUND($C19*'Levy Rate'!F19,0)</f>
        <v>155527</v>
      </c>
      <c r="G19" s="63">
        <f>ROUND($C19*'Levy Rate'!G19,0)</f>
        <v>0</v>
      </c>
      <c r="H19" s="63">
        <f>ROUND($C19*'Levy Rate'!H19,0)</f>
        <v>0</v>
      </c>
      <c r="I19" s="63">
        <f>ROUND($C19*'Levy Rate'!I19,0)</f>
        <v>0</v>
      </c>
      <c r="J19" s="6" t="str">
        <f>IF('Levy Rate'!J19="","",'Levy Rate'!J19)</f>
        <v/>
      </c>
      <c r="K19" s="63">
        <f>SUM(E19:I19)</f>
        <v>155527</v>
      </c>
      <c r="L19" s="63">
        <f>ROUND($C19*'Levy Rate'!L19,0)</f>
        <v>0</v>
      </c>
      <c r="M19" s="63">
        <f>ROUND($C19*'Levy Rate'!M19,0)</f>
        <v>750000</v>
      </c>
      <c r="N19" s="116">
        <f>SUM(K19:M19)</f>
        <v>905527</v>
      </c>
      <c r="O19" s="45"/>
      <c r="P19" s="118">
        <v>442000</v>
      </c>
      <c r="Q19" s="63">
        <v>519960</v>
      </c>
      <c r="R19" s="116"/>
    </row>
    <row r="20" spans="1:18" x14ac:dyDescent="0.2">
      <c r="A20" s="193">
        <f>'Levy Rate'!A20:A21</f>
        <v>55</v>
      </c>
      <c r="B20" s="195" t="str">
        <f>'Levy Rate'!B20:B21</f>
        <v>Blackfoot</v>
      </c>
      <c r="C20" s="48">
        <f>'Levy Rate'!C20</f>
        <v>1685032965</v>
      </c>
      <c r="D20" s="48">
        <f>'Levy Rate'!D20</f>
        <v>0</v>
      </c>
      <c r="E20" s="57">
        <f>ROUND($C20*'Levy Rate'!E20,0)</f>
        <v>0</v>
      </c>
      <c r="F20" s="48">
        <f>ROUND($C20*'Levy Rate'!F20,0)</f>
        <v>0</v>
      </c>
      <c r="G20" s="48">
        <f>ROUND($C20*'Levy Rate'!G20,0)</f>
        <v>0</v>
      </c>
      <c r="H20" s="48">
        <f>ROUND($C20*'Levy Rate'!H20,0)</f>
        <v>0</v>
      </c>
      <c r="I20" s="48">
        <f>ROUND($C20*'Levy Rate'!I20,0)</f>
        <v>0</v>
      </c>
      <c r="J20" s="49" t="str">
        <f>IF('Levy Rate'!J20="","",'Levy Rate'!J20)</f>
        <v/>
      </c>
      <c r="K20" s="200">
        <f>SUM(E20:I21)</f>
        <v>1423767</v>
      </c>
      <c r="L20" s="48">
        <f>ROUND($C20*'Levy Rate'!L20,0)</f>
        <v>0</v>
      </c>
      <c r="M20" s="48">
        <f>ROUND($C20*'Levy Rate'!M20,0)</f>
        <v>0</v>
      </c>
      <c r="N20" s="197">
        <f>SUM(K20:M21)</f>
        <v>2023767</v>
      </c>
      <c r="O20" s="45"/>
      <c r="P20" s="252">
        <v>1500000</v>
      </c>
      <c r="Q20" s="200">
        <v>482225</v>
      </c>
      <c r="R20" s="197"/>
    </row>
    <row r="21" spans="1:18" x14ac:dyDescent="0.2">
      <c r="A21" s="194"/>
      <c r="B21" s="196"/>
      <c r="C21" s="50">
        <f>'[1]Levy Rate'!C22</f>
        <v>0</v>
      </c>
      <c r="D21" s="50">
        <f>'Levy Rate'!D21</f>
        <v>1761890550</v>
      </c>
      <c r="E21" s="54">
        <f>ROUND($D21*'Levy Rate'!E21,0)</f>
        <v>0</v>
      </c>
      <c r="F21" s="50">
        <f>ROUND($D21*'Levy Rate'!F21,0)+1</f>
        <v>1423767</v>
      </c>
      <c r="G21" s="50">
        <f>ROUND($D21*'Levy Rate'!G21,0)</f>
        <v>0</v>
      </c>
      <c r="H21" s="50">
        <f>ROUND($D21*'Levy Rate'!H21,0)</f>
        <v>0</v>
      </c>
      <c r="I21" s="50">
        <f>ROUND($D21*'Levy Rate'!I21,0)</f>
        <v>0</v>
      </c>
      <c r="J21" s="51" t="str">
        <f>IF('Levy Rate'!J21="","",'Levy Rate'!J21)</f>
        <v/>
      </c>
      <c r="K21" s="210"/>
      <c r="L21" s="52">
        <f>ROUND($D21*'Levy Rate'!L21,0)</f>
        <v>0</v>
      </c>
      <c r="M21" s="50">
        <f>ROUND($D21*'Levy Rate'!M21,0)+1</f>
        <v>600000</v>
      </c>
      <c r="N21" s="211"/>
      <c r="O21" s="45"/>
      <c r="P21" s="253"/>
      <c r="Q21" s="210"/>
      <c r="R21" s="211"/>
    </row>
    <row r="22" spans="1:18" x14ac:dyDescent="0.2">
      <c r="A22" s="61">
        <f>'Levy Rate'!A22</f>
        <v>58</v>
      </c>
      <c r="B22" s="62" t="str">
        <f>'Levy Rate'!B22</f>
        <v>Aberdeen</v>
      </c>
      <c r="C22" s="63">
        <f>'Levy Rate'!C22</f>
        <v>403099853</v>
      </c>
      <c r="D22" s="63">
        <f>'Levy Rate'!D22</f>
        <v>0</v>
      </c>
      <c r="E22" s="64">
        <f>ROUND($C22*'Levy Rate'!E22,0)</f>
        <v>0</v>
      </c>
      <c r="F22" s="63">
        <f>ROUND($C22*'Levy Rate'!F22,0)</f>
        <v>950000</v>
      </c>
      <c r="G22" s="63">
        <f>ROUND($C22*'Levy Rate'!G22,0)</f>
        <v>0</v>
      </c>
      <c r="H22" s="63">
        <f>ROUND($C22*'Levy Rate'!H22,0)</f>
        <v>0</v>
      </c>
      <c r="I22" s="63">
        <f>ROUND($C22*'Levy Rate'!I22,0)</f>
        <v>0</v>
      </c>
      <c r="J22" s="6" t="str">
        <f>IF('Levy Rate'!J22="","",'Levy Rate'!J22)</f>
        <v/>
      </c>
      <c r="K22" s="63">
        <f>SUM(E22:I22)</f>
        <v>950000</v>
      </c>
      <c r="L22" s="63">
        <f>ROUND($C22*'Levy Rate'!L22,0)</f>
        <v>416501</v>
      </c>
      <c r="M22" s="63">
        <f>ROUND($C22*'Levy Rate'!M22,0)</f>
        <v>0</v>
      </c>
      <c r="N22" s="116">
        <f>SUM(K22:M22)</f>
        <v>1366501</v>
      </c>
      <c r="O22" s="45"/>
      <c r="P22" s="118">
        <v>333178</v>
      </c>
      <c r="Q22" s="63"/>
      <c r="R22" s="116"/>
    </row>
    <row r="23" spans="1:18" x14ac:dyDescent="0.2">
      <c r="A23" s="61">
        <f>'Levy Rate'!A23</f>
        <v>59</v>
      </c>
      <c r="B23" s="62" t="str">
        <f>'Levy Rate'!B23</f>
        <v>Firth</v>
      </c>
      <c r="C23" s="63">
        <f>'Levy Rate'!C23</f>
        <v>410724293</v>
      </c>
      <c r="D23" s="63">
        <f>'Levy Rate'!D23</f>
        <v>0</v>
      </c>
      <c r="E23" s="64">
        <f>ROUND($C23*'Levy Rate'!E23,0)</f>
        <v>0</v>
      </c>
      <c r="F23" s="63">
        <f>ROUND($C23*'Levy Rate'!F23,0)</f>
        <v>0</v>
      </c>
      <c r="G23" s="63">
        <f>ROUND($C23*'Levy Rate'!G23,0)</f>
        <v>0</v>
      </c>
      <c r="H23" s="63">
        <f>ROUND($C23*'Levy Rate'!H23,0)</f>
        <v>26231</v>
      </c>
      <c r="I23" s="63">
        <f>ROUND($C23*'Levy Rate'!I23,0)</f>
        <v>0</v>
      </c>
      <c r="J23" s="6" t="str">
        <f>IF('Levy Rate'!J23="","",'Levy Rate'!J23)</f>
        <v/>
      </c>
      <c r="K23" s="63">
        <f>SUM(E23:I23)</f>
        <v>26231</v>
      </c>
      <c r="L23" s="63">
        <f>ROUND($C23*'Levy Rate'!L23,0)</f>
        <v>0</v>
      </c>
      <c r="M23" s="63">
        <f>ROUND($C23*'Levy Rate'!M23,0)</f>
        <v>0</v>
      </c>
      <c r="N23" s="116">
        <f>SUM(K23:M23)</f>
        <v>26231</v>
      </c>
      <c r="O23" s="45"/>
      <c r="P23" s="118"/>
      <c r="Q23" s="63"/>
      <c r="R23" s="116">
        <v>400000</v>
      </c>
    </row>
    <row r="24" spans="1:18" x14ac:dyDescent="0.2">
      <c r="A24" s="203">
        <f>'Levy Rate'!A24</f>
        <v>60</v>
      </c>
      <c r="B24" s="205" t="str">
        <f>'Levy Rate'!B24</f>
        <v>Shelley Joint</v>
      </c>
      <c r="C24" s="48">
        <f>'Levy Rate'!C24</f>
        <v>1350860936</v>
      </c>
      <c r="D24" s="48">
        <f>'Levy Rate'!D24</f>
        <v>0</v>
      </c>
      <c r="E24" s="57">
        <f>ROUND($C24*'Levy Rate'!E24,0)</f>
        <v>0</v>
      </c>
      <c r="F24" s="48">
        <f>ROUND($C24*'Levy Rate'!F24,0)</f>
        <v>0</v>
      </c>
      <c r="G24" s="48">
        <f>ROUND($C24*'Levy Rate'!G24,0)</f>
        <v>0</v>
      </c>
      <c r="H24" s="48">
        <f>ROUND($C24*'Levy Rate'!H24,0)</f>
        <v>41193</v>
      </c>
      <c r="I24" s="48">
        <f>ROUND($C24*'Levy Rate'!I24,0)</f>
        <v>0</v>
      </c>
      <c r="J24" s="49" t="str">
        <f>IF('Levy Rate'!J24="","",'Levy Rate'!J24)</f>
        <v/>
      </c>
      <c r="K24" s="233">
        <f>SUM(E24:I25)</f>
        <v>766193</v>
      </c>
      <c r="L24" s="48">
        <f>ROUND($C24*'Levy Rate'!L24,0)</f>
        <v>0</v>
      </c>
      <c r="M24" s="48">
        <f>ROUND($C24*'Levy Rate'!M24,0)</f>
        <v>0</v>
      </c>
      <c r="N24" s="235">
        <f>SUM(K24:M25)</f>
        <v>922616</v>
      </c>
      <c r="O24" s="45"/>
      <c r="P24" s="241">
        <v>1343508</v>
      </c>
      <c r="Q24" s="233"/>
      <c r="R24" s="235"/>
    </row>
    <row r="25" spans="1:18" x14ac:dyDescent="0.2">
      <c r="A25" s="208"/>
      <c r="B25" s="208"/>
      <c r="C25" s="50"/>
      <c r="D25" s="50">
        <f>'Levy Rate'!D25</f>
        <v>1364021039</v>
      </c>
      <c r="E25" s="54"/>
      <c r="F25" s="50">
        <f>ROUND($D25*'Levy Rate'!F25,0)</f>
        <v>725000</v>
      </c>
      <c r="G25" s="50"/>
      <c r="H25" s="50"/>
      <c r="I25" s="50"/>
      <c r="J25" s="51"/>
      <c r="K25" s="240"/>
      <c r="L25" s="50">
        <f>ROUND($D25*'Levy Rate'!L25,0)</f>
        <v>156423</v>
      </c>
      <c r="M25" s="50">
        <f>ROUND($D25*'Levy Rate'!M25,0)</f>
        <v>0</v>
      </c>
      <c r="N25" s="237"/>
      <c r="O25" s="45"/>
      <c r="P25" s="242"/>
      <c r="Q25" s="240"/>
      <c r="R25" s="237"/>
    </row>
    <row r="26" spans="1:18" x14ac:dyDescent="0.2">
      <c r="A26" s="203">
        <f>'Levy Rate'!A26</f>
        <v>61</v>
      </c>
      <c r="B26" s="205" t="str">
        <f>'Levy Rate'!B26</f>
        <v>Blaine County</v>
      </c>
      <c r="C26" s="48">
        <f>'Levy Rate'!C26</f>
        <v>22489472043</v>
      </c>
      <c r="D26" s="48">
        <f>'Levy Rate'!D26</f>
        <v>0</v>
      </c>
      <c r="E26" s="48">
        <f>ROUND($C26*'Levy Rate'!E26,0)-8</f>
        <v>29521000</v>
      </c>
      <c r="F26" s="48">
        <f>ROUND($C26*'Levy Rate'!F26,0)-8</f>
        <v>2600000</v>
      </c>
      <c r="G26" s="48">
        <f>ROUND($C26*'Levy Rate'!G26,0)</f>
        <v>0</v>
      </c>
      <c r="H26" s="48">
        <f>ROUND($C26*'Levy Rate'!H26,0)-10</f>
        <v>6917</v>
      </c>
      <c r="I26" s="48">
        <f>ROUND($C26*'Levy Rate'!I26,0)</f>
        <v>0</v>
      </c>
      <c r="J26" s="49" t="str">
        <f>IF('Levy Rate'!J26="","",'Levy Rate'!J26)</f>
        <v/>
      </c>
      <c r="K26" s="233">
        <f>SUM(E26:I27)</f>
        <v>32321900</v>
      </c>
      <c r="L26" s="48">
        <f>ROUND($C26*'Levy Rate'!L26,0)</f>
        <v>0</v>
      </c>
      <c r="M26" s="48">
        <f>ROUND($C26*'Levy Rate'!M26,0)</f>
        <v>0</v>
      </c>
      <c r="N26" s="235">
        <f>SUM(K26:M27)</f>
        <v>37321900</v>
      </c>
      <c r="O26" s="45"/>
      <c r="P26" s="241"/>
      <c r="Q26" s="233">
        <v>1656017</v>
      </c>
      <c r="R26" s="235"/>
    </row>
    <row r="27" spans="1:18" x14ac:dyDescent="0.2">
      <c r="A27" s="204"/>
      <c r="B27" s="206"/>
      <c r="C27" s="50">
        <f>'Levy Rate'!C27</f>
        <v>0</v>
      </c>
      <c r="D27" s="50">
        <f>'Levy Rate'!D27</f>
        <v>23577248377</v>
      </c>
      <c r="E27" s="54"/>
      <c r="F27" s="50">
        <f>ROUND($D27*'Levy Rate'!F27,0)-11</f>
        <v>193983</v>
      </c>
      <c r="G27" s="50">
        <f>ROUND($D27*'Levy Rate'!G27,0)</f>
        <v>0</v>
      </c>
      <c r="H27" s="50">
        <f>ROUND($D27*'Levy Rate'!H27,0)</f>
        <v>0</v>
      </c>
      <c r="I27" s="50">
        <f>ROUND($D27*'Levy Rate'!I27,0)</f>
        <v>0</v>
      </c>
      <c r="J27" s="51"/>
      <c r="K27" s="234"/>
      <c r="L27" s="50">
        <f>ROUND($D27*'Levy Rate'!L27,0)</f>
        <v>0</v>
      </c>
      <c r="M27" s="50">
        <f>ROUND($D27*'Levy Rate'!M27,0)-3</f>
        <v>5000000</v>
      </c>
      <c r="N27" s="236"/>
      <c r="O27" s="45"/>
      <c r="P27" s="254"/>
      <c r="Q27" s="234"/>
      <c r="R27" s="236"/>
    </row>
    <row r="28" spans="1:18" x14ac:dyDescent="0.2">
      <c r="A28" s="61">
        <f>'Levy Rate'!A28</f>
        <v>71</v>
      </c>
      <c r="B28" s="62" t="str">
        <f>'Levy Rate'!B28</f>
        <v>Garden Valley</v>
      </c>
      <c r="C28" s="63">
        <f>'Levy Rate'!C28</f>
        <v>1417057789</v>
      </c>
      <c r="D28" s="63">
        <f>'Levy Rate'!D28</f>
        <v>0</v>
      </c>
      <c r="E28" s="64">
        <f>ROUND($C28*'Levy Rate'!E28,0)</f>
        <v>0</v>
      </c>
      <c r="F28" s="63">
        <f>ROUND($C28*'Levy Rate'!F28,0)</f>
        <v>400000</v>
      </c>
      <c r="G28" s="63">
        <f>ROUND($C28*'Levy Rate'!G28,0)</f>
        <v>0</v>
      </c>
      <c r="H28" s="63">
        <f>ROUND($C28*'Levy Rate'!H28,0)</f>
        <v>15209</v>
      </c>
      <c r="I28" s="63">
        <f>ROUND($C28*'Levy Rate'!I28,0)</f>
        <v>0</v>
      </c>
      <c r="J28" s="6" t="str">
        <f>IF('Levy Rate'!J28="","",'Levy Rate'!J28)</f>
        <v/>
      </c>
      <c r="K28" s="63">
        <f>SUM(E28:I28)</f>
        <v>415209</v>
      </c>
      <c r="L28" s="63">
        <f>ROUND($C28*'Levy Rate'!L28,0)</f>
        <v>790149</v>
      </c>
      <c r="M28" s="63">
        <f>ROUND($C28*'Levy Rate'!M28,0)</f>
        <v>0</v>
      </c>
      <c r="N28" s="116">
        <f>SUM(K28:M28)</f>
        <v>1205358</v>
      </c>
      <c r="O28" s="45"/>
      <c r="P28" s="118">
        <v>129851</v>
      </c>
      <c r="Q28" s="63"/>
      <c r="R28" s="116"/>
    </row>
    <row r="29" spans="1:18" x14ac:dyDescent="0.2">
      <c r="A29" s="61">
        <f>'Levy Rate'!A29</f>
        <v>72</v>
      </c>
      <c r="B29" s="62" t="str">
        <f>'Levy Rate'!B29</f>
        <v>Basin</v>
      </c>
      <c r="C29" s="63">
        <f>'Levy Rate'!C29</f>
        <v>1029605847</v>
      </c>
      <c r="D29" s="63">
        <f>'Levy Rate'!D29</f>
        <v>0</v>
      </c>
      <c r="E29" s="64">
        <f>ROUND($C29*'Levy Rate'!E29,0)</f>
        <v>0</v>
      </c>
      <c r="F29" s="63">
        <f>ROUND($C29*'Levy Rate'!F29,0)</f>
        <v>328090</v>
      </c>
      <c r="G29" s="63">
        <f>ROUND($C29*'Levy Rate'!G29,0)</f>
        <v>0</v>
      </c>
      <c r="H29" s="63">
        <f>ROUND($C29*'Levy Rate'!H29,0)</f>
        <v>44232</v>
      </c>
      <c r="I29" s="63">
        <f>ROUND($C29*'Levy Rate'!I29,0)</f>
        <v>0</v>
      </c>
      <c r="J29" s="6" t="str">
        <f>IF('Levy Rate'!J29="","",'Levy Rate'!J29)</f>
        <v/>
      </c>
      <c r="K29" s="63">
        <f>SUM(E29:I29)</f>
        <v>372322</v>
      </c>
      <c r="L29" s="63">
        <f>ROUND($C29*'Levy Rate'!L29,0)</f>
        <v>0</v>
      </c>
      <c r="M29" s="63">
        <f>ROUND($C29*'Levy Rate'!M29,0)</f>
        <v>0</v>
      </c>
      <c r="N29" s="116">
        <f>SUM(K29:M29)</f>
        <v>372322</v>
      </c>
      <c r="O29" s="45"/>
      <c r="P29" s="118"/>
      <c r="Q29" s="63">
        <v>165410</v>
      </c>
      <c r="R29" s="116"/>
    </row>
    <row r="30" spans="1:18" x14ac:dyDescent="0.2">
      <c r="A30" s="61">
        <f>'Levy Rate'!A30</f>
        <v>73</v>
      </c>
      <c r="B30" s="62" t="str">
        <f>'Levy Rate'!B30</f>
        <v>Horseshoe Bend</v>
      </c>
      <c r="C30" s="63">
        <f>'Levy Rate'!C30</f>
        <v>455048437</v>
      </c>
      <c r="D30" s="63">
        <f>'Levy Rate'!D30</f>
        <v>0</v>
      </c>
      <c r="E30" s="64">
        <f>ROUND($C30*'Levy Rate'!E30,0)</f>
        <v>0</v>
      </c>
      <c r="F30" s="63">
        <f>ROUND($C30*'Levy Rate'!F30,0)</f>
        <v>251348</v>
      </c>
      <c r="G30" s="63">
        <f>ROUND($C30*'Levy Rate'!G30,0)</f>
        <v>0</v>
      </c>
      <c r="H30" s="63">
        <f>ROUND($C30*'Levy Rate'!H30,0)</f>
        <v>8917</v>
      </c>
      <c r="I30" s="63">
        <f>ROUND($C30*'Levy Rate'!I30,0)</f>
        <v>0</v>
      </c>
      <c r="J30" s="6" t="str">
        <f>IF('Levy Rate'!J30="","",'Levy Rate'!J30)</f>
        <v/>
      </c>
      <c r="K30" s="63">
        <f>SUM(E30:I30)</f>
        <v>260265</v>
      </c>
      <c r="L30" s="63">
        <f>ROUND($C30*'Levy Rate'!L30,0)</f>
        <v>0</v>
      </c>
      <c r="M30" s="63">
        <f>ROUND($C30*'Levy Rate'!M30,0)</f>
        <v>0</v>
      </c>
      <c r="N30" s="116">
        <f>SUM(K30:M30)</f>
        <v>260265</v>
      </c>
      <c r="O30" s="45"/>
      <c r="P30" s="118">
        <v>55000</v>
      </c>
      <c r="Q30" s="63">
        <v>48652</v>
      </c>
      <c r="R30" s="116"/>
    </row>
    <row r="31" spans="1:18" x14ac:dyDescent="0.2">
      <c r="A31" s="193">
        <f>'Levy Rate'!A31:A32</f>
        <v>83</v>
      </c>
      <c r="B31" s="195" t="str">
        <f>'Levy Rate'!B31:B32</f>
        <v>West Bonner County</v>
      </c>
      <c r="C31" s="48">
        <f>'Levy Rate'!C31</f>
        <v>5421384045</v>
      </c>
      <c r="D31" s="48">
        <f>'Levy Rate'!D31</f>
        <v>0</v>
      </c>
      <c r="E31" s="57">
        <f>ROUND($C31*'Levy Rate'!E31,0)</f>
        <v>0</v>
      </c>
      <c r="F31" s="48">
        <f>ROUND($C31*'Levy Rate'!F31,0)</f>
        <v>0</v>
      </c>
      <c r="G31" s="48">
        <f>ROUND($C31*'Levy Rate'!G31,0)</f>
        <v>0</v>
      </c>
      <c r="H31" s="48">
        <f>ROUND($C31*'Levy Rate'!H31,0)+2</f>
        <v>137917</v>
      </c>
      <c r="I31" s="48">
        <f>ROUND($C31*'Levy Rate'!I31,0)</f>
        <v>0</v>
      </c>
      <c r="J31" s="49" t="str">
        <f>IF('Levy Rate'!J31="","",'Levy Rate'!J31)</f>
        <v/>
      </c>
      <c r="K31" s="200">
        <f>SUM(E31:I32)</f>
        <v>137917</v>
      </c>
      <c r="L31" s="48">
        <f>ROUND($C31*'Levy Rate'!L31,0)</f>
        <v>0</v>
      </c>
      <c r="M31" s="48">
        <f>ROUND($C31*'Levy Rate'!M31,0)</f>
        <v>0</v>
      </c>
      <c r="N31" s="197">
        <f>SUM(K31:M32)</f>
        <v>137917</v>
      </c>
      <c r="O31" s="45"/>
      <c r="P31" s="255"/>
      <c r="Q31" s="257"/>
      <c r="R31" s="256"/>
    </row>
    <row r="32" spans="1:18" x14ac:dyDescent="0.2">
      <c r="A32" s="194"/>
      <c r="B32" s="196"/>
      <c r="C32" s="50">
        <f>'Levy Rate'!C32</f>
        <v>0</v>
      </c>
      <c r="D32" s="50">
        <f>'Levy Rate'!D32</f>
        <v>0</v>
      </c>
      <c r="E32" s="54">
        <f>ROUND($D32*'Levy Rate'!E32,0)</f>
        <v>0</v>
      </c>
      <c r="F32" s="50">
        <f>ROUND($D32*'Levy Rate'!F32,0)</f>
        <v>0</v>
      </c>
      <c r="G32" s="50">
        <f>ROUND($D32*'Levy Rate'!G32,0)</f>
        <v>0</v>
      </c>
      <c r="H32" s="50">
        <f>ROUND($D32*'Levy Rate'!H32,0)</f>
        <v>0</v>
      </c>
      <c r="I32" s="50">
        <f>ROUND($D32*'Levy Rate'!I32,0)</f>
        <v>0</v>
      </c>
      <c r="J32" s="51" t="str">
        <f>IF('Levy Rate'!J32="","",'Levy Rate'!J32)</f>
        <v/>
      </c>
      <c r="K32" s="210"/>
      <c r="L32" s="50">
        <f>ROUND($D32*'Levy Rate'!L32,0)</f>
        <v>0</v>
      </c>
      <c r="M32" s="50">
        <f>ROUND($D32*'Levy Rate'!M32,0)</f>
        <v>0</v>
      </c>
      <c r="N32" s="211"/>
      <c r="O32" s="45"/>
      <c r="P32" s="255"/>
      <c r="Q32" s="257"/>
      <c r="R32" s="256"/>
    </row>
    <row r="33" spans="1:18" ht="12.75" customHeight="1" x14ac:dyDescent="0.2">
      <c r="A33" s="193">
        <f>'Levy Rate'!A33:A34</f>
        <v>84</v>
      </c>
      <c r="B33" s="195" t="str">
        <f>'Levy Rate'!B33:B34</f>
        <v>Lake Pend Oreille</v>
      </c>
      <c r="C33" s="48">
        <f>'Levy Rate'!C33</f>
        <v>13279916404</v>
      </c>
      <c r="D33" s="48">
        <f>'Levy Rate'!D33</f>
        <v>0</v>
      </c>
      <c r="E33" s="57">
        <f>ROUND($C33*'Levy Rate'!E33,0)</f>
        <v>0</v>
      </c>
      <c r="F33" s="48">
        <f>ROUND($C33*'Levy Rate'!F33,0)+4</f>
        <v>12700000</v>
      </c>
      <c r="G33" s="48">
        <f>ROUND($C33*'Levy Rate'!G33,0)</f>
        <v>0</v>
      </c>
      <c r="H33" s="48">
        <f>ROUND($C33*'Levy Rate'!H33,0)-4</f>
        <v>299458</v>
      </c>
      <c r="I33" s="48">
        <f>ROUND($C33*'Levy Rate'!I33,0)</f>
        <v>0</v>
      </c>
      <c r="J33" s="49" t="str">
        <f>IF('Levy Rate'!J33="","",'Levy Rate'!J33)</f>
        <v/>
      </c>
      <c r="K33" s="200">
        <f>SUM(E33:I34)</f>
        <v>12999458</v>
      </c>
      <c r="L33" s="48">
        <f>ROUND($C33*'Levy Rate'!L33,0)</f>
        <v>0</v>
      </c>
      <c r="M33" s="48">
        <f>ROUND($C33*'Levy Rate'!M33,0)</f>
        <v>0</v>
      </c>
      <c r="N33" s="197">
        <f>SUM(K33:M34)</f>
        <v>12999458</v>
      </c>
      <c r="O33" s="45"/>
      <c r="P33" s="255"/>
      <c r="Q33" s="257"/>
      <c r="R33" s="256"/>
    </row>
    <row r="34" spans="1:18" x14ac:dyDescent="0.2">
      <c r="A34" s="194"/>
      <c r="B34" s="196"/>
      <c r="C34" s="50">
        <f>'Levy Rate'!C34</f>
        <v>0</v>
      </c>
      <c r="D34" s="50">
        <f>'Levy Rate'!D34</f>
        <v>13958799325</v>
      </c>
      <c r="E34" s="54">
        <f>ROUND($D34*'Levy Rate'!E34,0)</f>
        <v>0</v>
      </c>
      <c r="F34" s="50">
        <f>ROUND($D34*'Levy Rate'!F34,0)</f>
        <v>0</v>
      </c>
      <c r="G34" s="50">
        <f>ROUND($D34*'Levy Rate'!G34,0)</f>
        <v>0</v>
      </c>
      <c r="H34" s="50">
        <f>ROUND($D34*'Levy Rate'!H34,0)</f>
        <v>0</v>
      </c>
      <c r="I34" s="50">
        <f>ROUND($D34*'Levy Rate'!I34,0)</f>
        <v>0</v>
      </c>
      <c r="J34" s="51" t="str">
        <f>IF('Levy Rate'!J34="","",'Levy Rate'!J34)</f>
        <v/>
      </c>
      <c r="K34" s="210"/>
      <c r="L34" s="50">
        <f>ROUND($D34*'Levy Rate'!L34,0)</f>
        <v>0</v>
      </c>
      <c r="M34" s="50">
        <f>ROUND($D34*'Levy Rate'!M34,0)</f>
        <v>0</v>
      </c>
      <c r="N34" s="211"/>
      <c r="O34" s="45"/>
      <c r="P34" s="255"/>
      <c r="Q34" s="257"/>
      <c r="R34" s="256"/>
    </row>
    <row r="35" spans="1:18" x14ac:dyDescent="0.2">
      <c r="A35" s="193">
        <f>'Levy Rate'!A35:A36</f>
        <v>91</v>
      </c>
      <c r="B35" s="195" t="str">
        <f>'Levy Rate'!B35:B36</f>
        <v>Idaho Falls</v>
      </c>
      <c r="C35" s="48">
        <f>'Levy Rate'!C35</f>
        <v>7969999030</v>
      </c>
      <c r="D35" s="48">
        <f>'Levy Rate'!D35</f>
        <v>0</v>
      </c>
      <c r="E35" s="57">
        <f>ROUND($C35*'Levy Rate'!E35,0)</f>
        <v>0</v>
      </c>
      <c r="F35" s="48">
        <f>ROUND($C35*'Levy Rate'!F35,0)</f>
        <v>0</v>
      </c>
      <c r="G35" s="48">
        <f>ROUND($C35*'Levy Rate'!G35,0)</f>
        <v>0</v>
      </c>
      <c r="H35" s="48">
        <f>ROUND($C35*'Levy Rate'!H35,0)</f>
        <v>0</v>
      </c>
      <c r="I35" s="48">
        <f>ROUND($C35*'Levy Rate'!I35,0)</f>
        <v>0</v>
      </c>
      <c r="J35" s="49" t="str">
        <f>IF('Levy Rate'!J35="","",'Levy Rate'!J35)</f>
        <v/>
      </c>
      <c r="K35" s="200">
        <f>SUM(E35:I36)</f>
        <v>1482648</v>
      </c>
      <c r="L35" s="48">
        <f>ROUND($C35*'Levy Rate'!L35,0)</f>
        <v>0</v>
      </c>
      <c r="M35" s="134">
        <f>ROUND($C35*'Levy Rate'!M35,0)</f>
        <v>0</v>
      </c>
      <c r="N35" s="197">
        <f>SUM(K35:M36)</f>
        <v>3922648</v>
      </c>
      <c r="O35" s="45"/>
      <c r="P35" s="255"/>
      <c r="Q35" s="257">
        <v>5116405</v>
      </c>
      <c r="R35" s="256"/>
    </row>
    <row r="36" spans="1:18" x14ac:dyDescent="0.2">
      <c r="A36" s="194"/>
      <c r="B36" s="196"/>
      <c r="C36" s="50">
        <f>'Levy Rate'!C36</f>
        <v>0</v>
      </c>
      <c r="D36" s="50">
        <f>'Levy Rate'!D36</f>
        <v>8240047262</v>
      </c>
      <c r="E36" s="54">
        <f>ROUND($D36*'Levy Rate'!E36,0)</f>
        <v>0</v>
      </c>
      <c r="F36" s="50">
        <f>ROUND($D36*'Levy Rate'!F36,0)</f>
        <v>1482648</v>
      </c>
      <c r="G36" s="50">
        <f>ROUND($D36*'Levy Rate'!G36,0)</f>
        <v>0</v>
      </c>
      <c r="H36" s="50">
        <f>ROUND($D36*'Levy Rate'!H36,0)</f>
        <v>0</v>
      </c>
      <c r="I36" s="50">
        <f>ROUND($D36*'Levy Rate'!I36,0)</f>
        <v>0</v>
      </c>
      <c r="J36" s="51" t="str">
        <f>IF('Levy Rate'!J36="","",'Levy Rate'!J36)</f>
        <v/>
      </c>
      <c r="K36" s="210"/>
      <c r="L36" s="50">
        <f>ROUND($D36*'Levy Rate'!L36,0)</f>
        <v>0</v>
      </c>
      <c r="M36" s="50">
        <f>ROUND($D36*'Levy Rate'!M36,0)-2</f>
        <v>2440000</v>
      </c>
      <c r="N36" s="211"/>
      <c r="O36" s="45"/>
      <c r="P36" s="255"/>
      <c r="Q36" s="257"/>
      <c r="R36" s="256"/>
    </row>
    <row r="37" spans="1:18" x14ac:dyDescent="0.2">
      <c r="A37" s="61">
        <f>'Levy Rate'!A37</f>
        <v>92</v>
      </c>
      <c r="B37" s="62" t="str">
        <f>'Levy Rate'!B37</f>
        <v>Swan Valley Elem</v>
      </c>
      <c r="C37" s="63">
        <f>'Levy Rate'!C37</f>
        <v>506108824</v>
      </c>
      <c r="D37" s="63">
        <f>'Levy Rate'!D37</f>
        <v>0</v>
      </c>
      <c r="E37" s="63">
        <f>ROUND($C37*'Levy Rate'!E37,0)</f>
        <v>133500</v>
      </c>
      <c r="F37" s="63">
        <f>ROUND($C37*'Levy Rate'!F37,0)</f>
        <v>0</v>
      </c>
      <c r="G37" s="63">
        <f>ROUND($C37*'Levy Rate'!G37,0)</f>
        <v>0</v>
      </c>
      <c r="H37" s="63">
        <f>ROUND($C37*'Levy Rate'!H37,0)</f>
        <v>20249</v>
      </c>
      <c r="I37" s="63">
        <f>ROUND($C37*'Levy Rate'!I37,0)</f>
        <v>121000</v>
      </c>
      <c r="J37" s="6" t="str">
        <f>IF('Levy Rate'!J37="","",'Levy Rate'!J37)</f>
        <v>t</v>
      </c>
      <c r="K37" s="63">
        <f>SUM(E37:I37)</f>
        <v>274749</v>
      </c>
      <c r="L37" s="63">
        <f>ROUND($C37*'Levy Rate'!L37,0)</f>
        <v>0</v>
      </c>
      <c r="M37" s="63">
        <f>ROUND($C37*'Levy Rate'!M37,0)</f>
        <v>48222</v>
      </c>
      <c r="N37" s="116">
        <f>SUM(K37:M37)</f>
        <v>322971</v>
      </c>
      <c r="O37" s="45"/>
      <c r="P37" s="118"/>
      <c r="Q37" s="63"/>
      <c r="R37" s="116">
        <v>26778</v>
      </c>
    </row>
    <row r="38" spans="1:18" x14ac:dyDescent="0.2">
      <c r="A38" s="193">
        <f>'Levy Rate'!A38:A39</f>
        <v>93</v>
      </c>
      <c r="B38" s="195" t="str">
        <f>'Levy Rate'!B38:B39</f>
        <v>Bonneville Joint</v>
      </c>
      <c r="C38" s="48">
        <f>'Levy Rate'!C38</f>
        <v>7417060223</v>
      </c>
      <c r="D38" s="48">
        <f>'Levy Rate'!D38</f>
        <v>0</v>
      </c>
      <c r="E38" s="57">
        <f>ROUND($C38*'Levy Rate'!E38,0)</f>
        <v>0</v>
      </c>
      <c r="F38" s="48">
        <f>ROUND($C38*'Levy Rate'!F38,0)</f>
        <v>0</v>
      </c>
      <c r="G38" s="48">
        <f>ROUND($C38*'Levy Rate'!G38,0)</f>
        <v>0</v>
      </c>
      <c r="H38" s="48">
        <f>ROUND($C38*'Levy Rate'!H38,0)</f>
        <v>0</v>
      </c>
      <c r="I38" s="48">
        <f>ROUND($C38*'Levy Rate'!I38,0)</f>
        <v>0</v>
      </c>
      <c r="J38" s="49" t="str">
        <f>IF('Levy Rate'!J38="","",'Levy Rate'!J38)</f>
        <v/>
      </c>
      <c r="K38" s="200">
        <f>SUM(E38:I39)</f>
        <v>5800000</v>
      </c>
      <c r="L38" s="48">
        <f>ROUND($C38*'Levy Rate'!L38,0)</f>
        <v>0</v>
      </c>
      <c r="M38" s="48">
        <f>ROUND($C38*'Levy Rate'!M38,0)</f>
        <v>0</v>
      </c>
      <c r="N38" s="197">
        <f>SUM(K38:M39)</f>
        <v>14600000</v>
      </c>
      <c r="O38" s="45"/>
      <c r="P38" s="255">
        <v>6777187</v>
      </c>
      <c r="Q38" s="257"/>
      <c r="R38" s="256"/>
    </row>
    <row r="39" spans="1:18" x14ac:dyDescent="0.2">
      <c r="A39" s="194"/>
      <c r="B39" s="196"/>
      <c r="C39" s="50">
        <f>'Levy Rate'!C39</f>
        <v>0</v>
      </c>
      <c r="D39" s="50">
        <f>'Levy Rate'!D39</f>
        <v>7517927803</v>
      </c>
      <c r="E39" s="54">
        <f>ROUND($D39*'Levy Rate'!E39,0)</f>
        <v>0</v>
      </c>
      <c r="F39" s="50">
        <f>ROUND($D39*'Levy Rate'!F39,0)+1</f>
        <v>5800000</v>
      </c>
      <c r="G39" s="50">
        <f>ROUND($D39*'Levy Rate'!G39,0)</f>
        <v>0</v>
      </c>
      <c r="H39" s="50">
        <f>ROUND($D39*'Levy Rate'!H39,0)</f>
        <v>0</v>
      </c>
      <c r="I39" s="50">
        <f>ROUND($D39*'Levy Rate'!I39,0)</f>
        <v>0</v>
      </c>
      <c r="J39" s="51" t="str">
        <f>IF('Levy Rate'!J39="","",'Levy Rate'!J39)</f>
        <v/>
      </c>
      <c r="K39" s="210"/>
      <c r="L39" s="50">
        <f>ROUND($D39*'Levy Rate'!L39,0)+17</f>
        <v>6000000</v>
      </c>
      <c r="M39" s="50">
        <f>ROUND($D39*'Levy Rate'!M39,0)</f>
        <v>2800000</v>
      </c>
      <c r="N39" s="211"/>
      <c r="O39" s="45"/>
      <c r="P39" s="255"/>
      <c r="Q39" s="257"/>
      <c r="R39" s="256"/>
    </row>
    <row r="40" spans="1:18" x14ac:dyDescent="0.2">
      <c r="A40" s="193">
        <f>'Levy Rate'!A40</f>
        <v>101</v>
      </c>
      <c r="B40" s="195" t="str">
        <f>'Levy Rate'!B40</f>
        <v>Boundary County</v>
      </c>
      <c r="C40" s="48">
        <f>'Levy Rate'!C40</f>
        <v>2462279135</v>
      </c>
      <c r="D40" s="48">
        <f>'Levy Rate'!D40</f>
        <v>0</v>
      </c>
      <c r="E40" s="57">
        <f>ROUND($C40*'Levy Rate'!E40,0)</f>
        <v>0</v>
      </c>
      <c r="F40" s="48">
        <f>ROUND($C40*'Levy Rate'!F40,0)</f>
        <v>0</v>
      </c>
      <c r="G40" s="48">
        <f>ROUND($C40*'Levy Rate'!G40,0)</f>
        <v>0</v>
      </c>
      <c r="H40" s="48">
        <f>ROUND($C40*'Levy Rate'!H40,0)</f>
        <v>74664</v>
      </c>
      <c r="I40" s="48">
        <f>ROUND($C40*'Levy Rate'!I40,0)</f>
        <v>0</v>
      </c>
      <c r="J40" s="49" t="str">
        <f>IF('Levy Rate'!J40="","",'Levy Rate'!J40)</f>
        <v/>
      </c>
      <c r="K40" s="216">
        <f>SUM(E40:I41)</f>
        <v>1794452</v>
      </c>
      <c r="L40" s="48">
        <f>ROUND($C40*'Levy Rate'!L40,0)</f>
        <v>0</v>
      </c>
      <c r="M40" s="48">
        <f>ROUND($C40*'Levy Rate'!M40,0)</f>
        <v>0</v>
      </c>
      <c r="N40" s="218">
        <f>SUM(K40:M41)</f>
        <v>1794452</v>
      </c>
      <c r="O40" s="45"/>
      <c r="P40" s="258"/>
      <c r="Q40" s="264">
        <v>680212</v>
      </c>
      <c r="R40" s="260"/>
    </row>
    <row r="41" spans="1:18" x14ac:dyDescent="0.2">
      <c r="A41" s="202"/>
      <c r="B41" s="213"/>
      <c r="C41" s="50"/>
      <c r="D41" s="50">
        <f>'Levy Rate'!D41</f>
        <v>2487363239</v>
      </c>
      <c r="E41" s="54"/>
      <c r="F41" s="50">
        <f>ROUND($D41*'Levy Rate'!F41,0)</f>
        <v>1719788</v>
      </c>
      <c r="G41" s="50"/>
      <c r="H41" s="50">
        <f>ROUND($C41*'Levy Rate'!H41,0)</f>
        <v>0</v>
      </c>
      <c r="I41" s="50"/>
      <c r="J41" s="51"/>
      <c r="K41" s="213"/>
      <c r="L41" s="120">
        <f>ROUND($D41*'Levy Rate'!L41,0)</f>
        <v>0</v>
      </c>
      <c r="M41" s="50"/>
      <c r="N41" s="219"/>
      <c r="O41" s="45"/>
      <c r="P41" s="259"/>
      <c r="Q41" s="265"/>
      <c r="R41" s="261"/>
    </row>
    <row r="42" spans="1:18" x14ac:dyDescent="0.2">
      <c r="A42" s="61">
        <f>'Levy Rate'!A42</f>
        <v>111</v>
      </c>
      <c r="B42" s="62" t="str">
        <f>'Levy Rate'!B42</f>
        <v>Butte County Joint</v>
      </c>
      <c r="C42" s="63">
        <f>'Levy Rate'!C42</f>
        <v>259045733</v>
      </c>
      <c r="D42" s="63">
        <f>'Levy Rate'!D42</f>
        <v>0</v>
      </c>
      <c r="E42" s="64">
        <f>ROUND($C42*'Levy Rate'!E42,0)</f>
        <v>0</v>
      </c>
      <c r="F42" s="63">
        <f>ROUND($C42*'Levy Rate'!F42,0)</f>
        <v>0</v>
      </c>
      <c r="G42" s="63">
        <f>ROUND($C42*'Levy Rate'!G42,0)</f>
        <v>0</v>
      </c>
      <c r="H42" s="63">
        <f>ROUND($C42*'Levy Rate'!H42,0)</f>
        <v>25321</v>
      </c>
      <c r="I42" s="63">
        <f>ROUND($C42*'Levy Rate'!I42,0)</f>
        <v>0</v>
      </c>
      <c r="J42" s="6" t="str">
        <f>IF('Levy Rate'!J42="","",'Levy Rate'!J42)</f>
        <v/>
      </c>
      <c r="K42" s="63">
        <f>SUM(E42:I42)</f>
        <v>25321</v>
      </c>
      <c r="L42" s="63">
        <f>ROUND($C42*'Levy Rate'!L42,0)</f>
        <v>0</v>
      </c>
      <c r="M42" s="63">
        <f>ROUND($C42*'Levy Rate'!M42,0)</f>
        <v>59729</v>
      </c>
      <c r="N42" s="116">
        <f>SUM(K42:M42)</f>
        <v>85050</v>
      </c>
      <c r="O42" s="45"/>
      <c r="P42" s="118"/>
      <c r="Q42" s="63">
        <v>160000</v>
      </c>
      <c r="R42" s="116">
        <v>43271</v>
      </c>
    </row>
    <row r="43" spans="1:18" x14ac:dyDescent="0.2">
      <c r="A43" s="61">
        <f>'Levy Rate'!A43</f>
        <v>121</v>
      </c>
      <c r="B43" s="62" t="str">
        <f>'Levy Rate'!B43</f>
        <v>Camas County</v>
      </c>
      <c r="C43" s="63">
        <f>'Levy Rate'!C43</f>
        <v>301094024</v>
      </c>
      <c r="D43" s="63">
        <f>'Levy Rate'!D43</f>
        <v>0</v>
      </c>
      <c r="E43" s="64">
        <f>ROUND($C43*'Levy Rate'!E43,0)</f>
        <v>0</v>
      </c>
      <c r="F43" s="63">
        <f>ROUND($C43*'Levy Rate'!F43,0)</f>
        <v>210243</v>
      </c>
      <c r="G43" s="63">
        <f>ROUND($C43*'Levy Rate'!G43,0)</f>
        <v>0</v>
      </c>
      <c r="H43" s="63">
        <f>ROUND($C43*'Levy Rate'!H43,0)</f>
        <v>9089</v>
      </c>
      <c r="I43" s="63">
        <f>ROUND($C43*'Levy Rate'!I43,0)</f>
        <v>0</v>
      </c>
      <c r="J43" s="6" t="str">
        <f>IF('Levy Rate'!J43="","",'Levy Rate'!J43)</f>
        <v/>
      </c>
      <c r="K43" s="63">
        <f>SUM(E43:I43)</f>
        <v>219332</v>
      </c>
      <c r="L43" s="63">
        <f>ROUND($C43*'Levy Rate'!L43,0)</f>
        <v>0</v>
      </c>
      <c r="M43" s="63">
        <f>ROUND($C43*'Levy Rate'!M43,0)</f>
        <v>20000</v>
      </c>
      <c r="N43" s="116">
        <f>SUM(K43:M43)</f>
        <v>239332</v>
      </c>
      <c r="O43" s="45"/>
      <c r="P43" s="118"/>
      <c r="Q43" s="63">
        <v>89757</v>
      </c>
      <c r="R43" s="116"/>
    </row>
    <row r="44" spans="1:18" x14ac:dyDescent="0.2">
      <c r="A44" s="193">
        <f>'Levy Rate'!A44:A45</f>
        <v>131</v>
      </c>
      <c r="B44" s="195" t="str">
        <f>'Levy Rate'!B44:B45</f>
        <v>Nampa</v>
      </c>
      <c r="C44" s="48">
        <f>'Levy Rate'!C44</f>
        <v>14473314165</v>
      </c>
      <c r="D44" s="48">
        <f>'Levy Rate'!D44</f>
        <v>0</v>
      </c>
      <c r="E44" s="57">
        <f>ROUND($C44*'Levy Rate'!E44,0)</f>
        <v>0</v>
      </c>
      <c r="F44" s="48">
        <f>ROUND($C44*'Levy Rate'!F44,0)</f>
        <v>0</v>
      </c>
      <c r="G44" s="48">
        <f>ROUND($C44*'Levy Rate'!G44,0)</f>
        <v>0</v>
      </c>
      <c r="H44" s="48">
        <f>ROUND($C44*'Levy Rate'!H44,0)+3</f>
        <v>490214</v>
      </c>
      <c r="I44" s="48">
        <f>ROUND($C44*'Levy Rate'!I44,0)</f>
        <v>0</v>
      </c>
      <c r="J44" s="49" t="str">
        <f>IF('Levy Rate'!J44="","",'Levy Rate'!J44)</f>
        <v/>
      </c>
      <c r="K44" s="200">
        <f>SUM(E44:I46)</f>
        <v>9824057</v>
      </c>
      <c r="L44" s="48">
        <f>ROUND($C44*'Levy Rate'!L44,0)</f>
        <v>0</v>
      </c>
      <c r="M44" s="48">
        <f>ROUND($C44*'Levy Rate'!M44,0)</f>
        <v>0</v>
      </c>
      <c r="N44" s="197">
        <f>SUM(K44:M46)</f>
        <v>9824057</v>
      </c>
      <c r="O44" s="45"/>
      <c r="P44" s="255">
        <v>1000000</v>
      </c>
      <c r="Q44" s="257">
        <v>5449275</v>
      </c>
      <c r="R44" s="256"/>
    </row>
    <row r="45" spans="1:18" x14ac:dyDescent="0.2">
      <c r="A45" s="214"/>
      <c r="B45" s="212"/>
      <c r="C45" s="16">
        <f>'Levy Rate'!C45</f>
        <v>0</v>
      </c>
      <c r="D45" s="16">
        <f>'Levy Rate'!D45</f>
        <v>14748213414</v>
      </c>
      <c r="E45" s="53">
        <f>ROUND($D45*'Levy Rate'!E45,0)</f>
        <v>0</v>
      </c>
      <c r="F45" s="16">
        <f>ROUND($D45*'Levy Rate'!F45,0)+2</f>
        <v>9330725</v>
      </c>
      <c r="G45" s="16">
        <f>ROUND($D45*'Levy Rate'!G45,0)</f>
        <v>0</v>
      </c>
      <c r="H45" s="16">
        <f>ROUND($D45*'Levy Rate'!H45,0)</f>
        <v>0</v>
      </c>
      <c r="I45" s="16">
        <f>ROUND($D45*'Levy Rate'!I45,0)+6</f>
        <v>3118</v>
      </c>
      <c r="J45" s="46" t="str">
        <f>IF('Levy Rate'!J45="","",'Levy Rate'!J45)</f>
        <v>j</v>
      </c>
      <c r="K45" s="201"/>
      <c r="L45" s="16">
        <f>ROUND($D45*'Levy Rate'!L45,0)</f>
        <v>0</v>
      </c>
      <c r="M45" s="16">
        <f>ROUND($D45*'Levy Rate'!M45,0)</f>
        <v>0</v>
      </c>
      <c r="N45" s="198"/>
      <c r="O45" s="45"/>
      <c r="P45" s="255"/>
      <c r="Q45" s="257"/>
      <c r="R45" s="256"/>
    </row>
    <row r="46" spans="1:18" x14ac:dyDescent="0.2">
      <c r="A46" s="202"/>
      <c r="B46" s="213"/>
      <c r="C46" s="50"/>
      <c r="D46" s="50">
        <f>'Levy Rate'!D46</f>
        <v>14477686013</v>
      </c>
      <c r="E46" s="54"/>
      <c r="F46" s="50"/>
      <c r="G46" s="50"/>
      <c r="H46" s="50"/>
      <c r="I46" s="50"/>
      <c r="J46" s="51"/>
      <c r="K46" s="215"/>
      <c r="L46" s="50">
        <f>ROUND($D46*'Levy Rate'!L46,0)</f>
        <v>0</v>
      </c>
      <c r="M46" s="50">
        <f>ROUND($D46*'Levy Rate'!M46,0)</f>
        <v>0</v>
      </c>
      <c r="N46" s="199"/>
      <c r="O46" s="45"/>
      <c r="P46" s="262"/>
      <c r="Q46" s="266"/>
      <c r="R46" s="263"/>
    </row>
    <row r="47" spans="1:18" x14ac:dyDescent="0.2">
      <c r="A47" s="193">
        <f>'Levy Rate'!A47:A48</f>
        <v>132</v>
      </c>
      <c r="B47" s="195" t="str">
        <f>'Levy Rate'!B47:B48</f>
        <v>Caldwell</v>
      </c>
      <c r="C47" s="48">
        <f>'Levy Rate'!C47</f>
        <v>5396226168</v>
      </c>
      <c r="D47" s="48">
        <f>'Levy Rate'!D47</f>
        <v>0</v>
      </c>
      <c r="E47" s="57">
        <f>ROUND($C47*'Levy Rate'!E47,0)</f>
        <v>0</v>
      </c>
      <c r="F47" s="48">
        <f>ROUND($C47*'Levy Rate'!F47,0)</f>
        <v>0</v>
      </c>
      <c r="G47" s="48">
        <f>ROUND($C47*'Levy Rate'!G47,0)</f>
        <v>0</v>
      </c>
      <c r="H47" s="48">
        <f>ROUND($C47*'Levy Rate'!H47,0)</f>
        <v>29739</v>
      </c>
      <c r="I47" s="48">
        <f>ROUND($C47*'Levy Rate'!I47,0)</f>
        <v>0</v>
      </c>
      <c r="J47" s="49" t="str">
        <f>IF('Levy Rate'!J47="","",'Levy Rate'!J47)</f>
        <v/>
      </c>
      <c r="K47" s="200">
        <f>SUM(E47:I48)</f>
        <v>29739</v>
      </c>
      <c r="L47" s="48">
        <f>ROUND($C47*'Levy Rate'!L47,0)</f>
        <v>0</v>
      </c>
      <c r="M47" s="48">
        <f>ROUND($C47*'Levy Rate'!M47,0)</f>
        <v>0</v>
      </c>
      <c r="N47" s="197">
        <f>SUM(K47:M48)</f>
        <v>29739</v>
      </c>
      <c r="O47" s="45"/>
      <c r="P47" s="255"/>
      <c r="Q47" s="257"/>
      <c r="R47" s="256">
        <v>2510000</v>
      </c>
    </row>
    <row r="48" spans="1:18" x14ac:dyDescent="0.2">
      <c r="A48" s="194"/>
      <c r="B48" s="196"/>
      <c r="C48" s="50">
        <f>'Levy Rate'!C48</f>
        <v>0</v>
      </c>
      <c r="D48" s="50">
        <f>'Levy Rate'!D48</f>
        <v>5429124520</v>
      </c>
      <c r="E48" s="54">
        <f>ROUND($D48*'Levy Rate'!E48,0)</f>
        <v>0</v>
      </c>
      <c r="F48" s="50">
        <f>ROUND($D48*'Levy Rate'!F48,0)</f>
        <v>0</v>
      </c>
      <c r="G48" s="50">
        <f>ROUND($D48*'Levy Rate'!G48,0)</f>
        <v>0</v>
      </c>
      <c r="H48" s="50">
        <f>ROUND($D48*'Levy Rate'!H48,0)</f>
        <v>0</v>
      </c>
      <c r="I48" s="50">
        <f>ROUND($D48*'Levy Rate'!I48,0)</f>
        <v>0</v>
      </c>
      <c r="J48" s="51" t="str">
        <f>IF('Levy Rate'!J48="","",'Levy Rate'!J48)</f>
        <v/>
      </c>
      <c r="K48" s="210"/>
      <c r="L48" s="50">
        <f>ROUND($D48*'Levy Rate'!L48,0)</f>
        <v>0</v>
      </c>
      <c r="M48" s="50">
        <f>ROUND($D48*'Levy Rate'!M48,0)</f>
        <v>0</v>
      </c>
      <c r="N48" s="211"/>
      <c r="O48" s="45"/>
      <c r="P48" s="255"/>
      <c r="Q48" s="257"/>
      <c r="R48" s="256"/>
    </row>
    <row r="49" spans="1:18" x14ac:dyDescent="0.2">
      <c r="A49" s="61">
        <f>'Levy Rate'!A49</f>
        <v>133</v>
      </c>
      <c r="B49" s="62" t="str">
        <f>'Levy Rate'!B49</f>
        <v>Wilder</v>
      </c>
      <c r="C49" s="63">
        <f>'Levy Rate'!C49</f>
        <v>601169965</v>
      </c>
      <c r="D49" s="63">
        <f>'Levy Rate'!D49</f>
        <v>0</v>
      </c>
      <c r="E49" s="64">
        <f>ROUND($C49*'Levy Rate'!E49,0)</f>
        <v>0</v>
      </c>
      <c r="F49" s="63">
        <f>ROUND($C49*'Levy Rate'!F49,0)</f>
        <v>0</v>
      </c>
      <c r="G49" s="63">
        <f>ROUND($C49*'Levy Rate'!G49,0)</f>
        <v>0</v>
      </c>
      <c r="H49" s="63">
        <f>ROUND($C49*'Levy Rate'!H49,0)</f>
        <v>0</v>
      </c>
      <c r="I49" s="63">
        <f>ROUND($C49*'Levy Rate'!I49,0)</f>
        <v>569058</v>
      </c>
      <c r="J49" s="6" t="str">
        <f>IF('Levy Rate'!J49="","",'Levy Rate'!J49)</f>
        <v>c</v>
      </c>
      <c r="K49" s="63">
        <f>SUM(E49:I49)</f>
        <v>569058</v>
      </c>
      <c r="L49" s="63">
        <f>ROUND($C49*'Levy Rate'!L49,0)</f>
        <v>351006</v>
      </c>
      <c r="M49" s="63">
        <f>ROUND($C49*'Levy Rate'!M49,0)</f>
        <v>0</v>
      </c>
      <c r="N49" s="116">
        <f>SUM(K49:M49)</f>
        <v>920064</v>
      </c>
      <c r="O49" s="45"/>
      <c r="P49" s="118">
        <v>239894</v>
      </c>
      <c r="Q49" s="63"/>
      <c r="R49" s="116"/>
    </row>
    <row r="50" spans="1:18" x14ac:dyDescent="0.2">
      <c r="A50" s="193">
        <f>'Levy Rate'!A50:A51</f>
        <v>134</v>
      </c>
      <c r="B50" s="195" t="str">
        <f>'Levy Rate'!B50:B51</f>
        <v>Middleton</v>
      </c>
      <c r="C50" s="48">
        <f>'Levy Rate'!C50</f>
        <v>4187199822</v>
      </c>
      <c r="D50" s="48">
        <f>'Levy Rate'!D50</f>
        <v>0</v>
      </c>
      <c r="E50" s="57">
        <f>ROUND($C50*'Levy Rate'!E50,0)</f>
        <v>0</v>
      </c>
      <c r="F50" s="48">
        <f>ROUND($C50*'Levy Rate'!F50,0)</f>
        <v>0</v>
      </c>
      <c r="G50" s="48">
        <f>ROUND($C50*'Levy Rate'!G50,0)</f>
        <v>0</v>
      </c>
      <c r="H50" s="48">
        <f>ROUND($C50*'Levy Rate'!H50,0)-1</f>
        <v>68548</v>
      </c>
      <c r="I50" s="48">
        <f>ROUND($C50*'Levy Rate'!I50,0)</f>
        <v>0</v>
      </c>
      <c r="J50" s="49" t="str">
        <f>IF('Levy Rate'!J50="","",'Levy Rate'!J50)</f>
        <v/>
      </c>
      <c r="K50" s="200">
        <f>SUM(E50:I51)</f>
        <v>1568548</v>
      </c>
      <c r="L50" s="48">
        <f>ROUND($C50*'Levy Rate'!L50,0)</f>
        <v>0</v>
      </c>
      <c r="M50" s="48">
        <f>ROUND($C50*'Levy Rate'!M50,0)</f>
        <v>0</v>
      </c>
      <c r="N50" s="197">
        <f>SUM(K50:M51)</f>
        <v>3452820</v>
      </c>
      <c r="O50" s="45"/>
      <c r="P50" s="255">
        <v>2260728</v>
      </c>
      <c r="Q50" s="257"/>
      <c r="R50" s="256"/>
    </row>
    <row r="51" spans="1:18" x14ac:dyDescent="0.2">
      <c r="A51" s="194"/>
      <c r="B51" s="196"/>
      <c r="C51" s="50">
        <f>'Levy Rate'!C51</f>
        <v>0</v>
      </c>
      <c r="D51" s="50">
        <f>'Levy Rate'!D51</f>
        <v>4242841267</v>
      </c>
      <c r="E51" s="54">
        <f>ROUND($D51*'Levy Rate'!E51,0)</f>
        <v>0</v>
      </c>
      <c r="F51" s="50">
        <f>ROUND($D51*'Levy Rate'!F51,0)-1</f>
        <v>1500000</v>
      </c>
      <c r="G51" s="50">
        <f>ROUND($D51*'Levy Rate'!G51,0)</f>
        <v>0</v>
      </c>
      <c r="H51" s="50">
        <f>ROUND($D51*'Levy Rate'!H51,0)</f>
        <v>0</v>
      </c>
      <c r="I51" s="50">
        <f>ROUND($D51*'Levy Rate'!I51,0)</f>
        <v>0</v>
      </c>
      <c r="J51" s="51"/>
      <c r="K51" s="210"/>
      <c r="L51" s="50">
        <f>ROUND($D51*'Levy Rate'!L51,0)+1</f>
        <v>1884272</v>
      </c>
      <c r="M51" s="50">
        <f>ROUND($D51*'Levy Rate'!M51,0)</f>
        <v>0</v>
      </c>
      <c r="N51" s="211"/>
      <c r="O51" s="45"/>
      <c r="P51" s="255"/>
      <c r="Q51" s="257"/>
      <c r="R51" s="256"/>
    </row>
    <row r="52" spans="1:18" x14ac:dyDescent="0.2">
      <c r="A52" s="193">
        <f>'Levy Rate'!A52</f>
        <v>135</v>
      </c>
      <c r="B52" s="195" t="str">
        <f>'Levy Rate'!B52</f>
        <v>Notus</v>
      </c>
      <c r="C52" s="48">
        <f>'Levy Rate'!C52</f>
        <v>324281011</v>
      </c>
      <c r="D52" s="48">
        <f>'Levy Rate'!D52</f>
        <v>0</v>
      </c>
      <c r="E52" s="57">
        <f>ROUND($C52*'Levy Rate'!E52,0)</f>
        <v>0</v>
      </c>
      <c r="F52" s="48">
        <f>ROUND($C52*'Levy Rate'!F52,0)</f>
        <v>0</v>
      </c>
      <c r="G52" s="48">
        <f>ROUND($C52*'Levy Rate'!G52,0)</f>
        <v>0</v>
      </c>
      <c r="H52" s="48">
        <f>ROUND($C52*'Levy Rate'!H52,0)</f>
        <v>0</v>
      </c>
      <c r="I52" s="48">
        <f>ROUND($C52*'Levy Rate'!I52,0)</f>
        <v>0</v>
      </c>
      <c r="J52" s="49" t="str">
        <f>IF('Levy Rate'!J52="","",'Levy Rate'!J52)</f>
        <v/>
      </c>
      <c r="K52" s="216">
        <f>SUM(E52:I53)</f>
        <v>279715</v>
      </c>
      <c r="L52" s="48">
        <f>ROUND($C52*'Levy Rate'!L52,0)</f>
        <v>0</v>
      </c>
      <c r="M52" s="48">
        <f>ROUND($C52*'Levy Rate'!M52,0)</f>
        <v>0</v>
      </c>
      <c r="N52" s="218">
        <f>SUM(K52:M53)</f>
        <v>879973</v>
      </c>
      <c r="O52" s="45"/>
      <c r="P52" s="258">
        <v>166277</v>
      </c>
      <c r="Q52" s="264"/>
      <c r="R52" s="271"/>
    </row>
    <row r="53" spans="1:18" x14ac:dyDescent="0.2">
      <c r="A53" s="202"/>
      <c r="B53" s="213"/>
      <c r="C53" s="50"/>
      <c r="D53" s="50">
        <f>'Levy Rate'!D53</f>
        <v>324778847</v>
      </c>
      <c r="E53" s="54"/>
      <c r="F53" s="50"/>
      <c r="G53" s="50"/>
      <c r="H53" s="50"/>
      <c r="I53" s="50">
        <f>ROUND($D53*'Levy Rate'!I53,0)</f>
        <v>279715</v>
      </c>
      <c r="J53" s="51" t="s">
        <v>219</v>
      </c>
      <c r="K53" s="217"/>
      <c r="L53" s="50">
        <f>ROUND($D53*'Levy Rate'!L53,0)</f>
        <v>170258</v>
      </c>
      <c r="M53" s="50">
        <f>ROUND($D53*'Levy Rate'!M53,0)</f>
        <v>430000</v>
      </c>
      <c r="N53" s="219"/>
      <c r="O53" s="45"/>
      <c r="P53" s="259"/>
      <c r="Q53" s="265"/>
      <c r="R53" s="272"/>
    </row>
    <row r="54" spans="1:18" x14ac:dyDescent="0.2">
      <c r="A54" s="59">
        <f>'Levy Rate'!A54</f>
        <v>136</v>
      </c>
      <c r="B54" s="60" t="str">
        <f>'Levy Rate'!B54</f>
        <v>Melba Joint</v>
      </c>
      <c r="C54" s="48">
        <f>'Levy Rate'!C54</f>
        <v>614284838</v>
      </c>
      <c r="D54" s="48">
        <f>'Levy Rate'!D54</f>
        <v>0</v>
      </c>
      <c r="E54" s="57">
        <f>ROUND($C54*'Levy Rate'!E54,0)</f>
        <v>0</v>
      </c>
      <c r="F54" s="48">
        <f>ROUND($C54*'Levy Rate'!F54,0)</f>
        <v>0</v>
      </c>
      <c r="G54" s="48">
        <f>ROUND($C54*'Levy Rate'!G54,0)</f>
        <v>0</v>
      </c>
      <c r="H54" s="48">
        <f>ROUND($C54*'Levy Rate'!H54,0)</f>
        <v>0</v>
      </c>
      <c r="I54" s="48">
        <f>ROUND($C54*'Levy Rate'!I54,0)</f>
        <v>0</v>
      </c>
      <c r="J54" s="49" t="str">
        <f>IF('Levy Rate'!J54="","",'Levy Rate'!J54)</f>
        <v/>
      </c>
      <c r="K54" s="48">
        <f>SUM(E54:I54)</f>
        <v>0</v>
      </c>
      <c r="L54" s="48">
        <f>ROUND($C54*'Levy Rate'!L54,0)</f>
        <v>60995</v>
      </c>
      <c r="M54" s="48">
        <f>ROUND($C54*'Levy Rate'!M54,0)</f>
        <v>0</v>
      </c>
      <c r="N54" s="121">
        <f>SUM(K54:M54)</f>
        <v>60995</v>
      </c>
      <c r="O54" s="45"/>
      <c r="P54" s="118">
        <v>429534</v>
      </c>
      <c r="Q54" s="63"/>
      <c r="R54" s="116"/>
    </row>
    <row r="55" spans="1:18" x14ac:dyDescent="0.2">
      <c r="A55" s="61">
        <f>'Levy Rate'!A55</f>
        <v>137</v>
      </c>
      <c r="B55" s="62" t="str">
        <f>'Levy Rate'!B55</f>
        <v>Parma</v>
      </c>
      <c r="C55" s="63">
        <f>'Levy Rate'!C55</f>
        <v>917523151</v>
      </c>
      <c r="D55" s="63">
        <f>'Levy Rate'!D55</f>
        <v>0</v>
      </c>
      <c r="E55" s="64">
        <f>ROUND($C55*'Levy Rate'!E55,0)</f>
        <v>0</v>
      </c>
      <c r="F55" s="63">
        <f>ROUND($C55*'Levy Rate'!F55,0)</f>
        <v>400000</v>
      </c>
      <c r="G55" s="63">
        <f>ROUND($C55*'Levy Rate'!G55,0)</f>
        <v>0</v>
      </c>
      <c r="H55" s="63">
        <f>ROUND($C55*'Levy Rate'!H55,0)</f>
        <v>70800</v>
      </c>
      <c r="I55" s="63">
        <f>ROUND($C55*'Levy Rate'!I55,0)</f>
        <v>917523</v>
      </c>
      <c r="J55" s="6" t="str">
        <f>IF('Levy Rate'!J55="","",'Levy Rate'!J55)</f>
        <v>c</v>
      </c>
      <c r="K55" s="63">
        <f>SUM(E55:I55)</f>
        <v>1388323</v>
      </c>
      <c r="L55" s="63">
        <f>ROUND($C55*'Levy Rate'!L55,0)</f>
        <v>190609</v>
      </c>
      <c r="M55" s="63">
        <f>ROUND($C55*'Levy Rate'!M55,0)</f>
        <v>0</v>
      </c>
      <c r="N55" s="116">
        <f>SUM(K55:M55)</f>
        <v>1578932</v>
      </c>
      <c r="O55" s="45"/>
      <c r="P55" s="118">
        <v>543391</v>
      </c>
      <c r="Q55" s="63"/>
      <c r="R55" s="116"/>
    </row>
    <row r="56" spans="1:18" x14ac:dyDescent="0.2">
      <c r="A56" s="193">
        <f>'Levy Rate'!A56:A57</f>
        <v>139</v>
      </c>
      <c r="B56" s="195" t="str">
        <f>'Levy Rate'!B56:B57</f>
        <v>Vallivue</v>
      </c>
      <c r="C56" s="48">
        <f>'Levy Rate'!C56</f>
        <v>9903624100</v>
      </c>
      <c r="D56" s="48">
        <f>'Levy Rate'!D56</f>
        <v>0</v>
      </c>
      <c r="E56" s="57">
        <f>ROUND($C56*'Levy Rate'!E56,0)</f>
        <v>0</v>
      </c>
      <c r="F56" s="48">
        <f>ROUND($C56*'Levy Rate'!F56,0)</f>
        <v>0</v>
      </c>
      <c r="G56" s="48">
        <f>ROUND($C56*'Levy Rate'!G56,0)</f>
        <v>0</v>
      </c>
      <c r="H56" s="48">
        <f>ROUND($C56*'Levy Rate'!H56,0)+1</f>
        <v>96502</v>
      </c>
      <c r="I56" s="48">
        <f>ROUND($C56*'Levy Rate'!I56,0)</f>
        <v>0</v>
      </c>
      <c r="J56" s="49" t="str">
        <f>IF('Levy Rate'!J56="","",'Levy Rate'!J56)</f>
        <v/>
      </c>
      <c r="K56" s="200">
        <f>SUM(E56:I58)</f>
        <v>7096502</v>
      </c>
      <c r="L56" s="48">
        <f>ROUND($C56*'Levy Rate'!L56,0)</f>
        <v>0</v>
      </c>
      <c r="M56" s="48">
        <f>ROUND($C56*'Levy Rate'!M56,0)</f>
        <v>0</v>
      </c>
      <c r="N56" s="197">
        <f>SUM(K56:M58)</f>
        <v>18738654</v>
      </c>
      <c r="O56" s="45"/>
      <c r="P56" s="255">
        <v>5162648</v>
      </c>
      <c r="Q56" s="257"/>
      <c r="R56" s="256"/>
    </row>
    <row r="57" spans="1:18" x14ac:dyDescent="0.2">
      <c r="A57" s="214"/>
      <c r="B57" s="212"/>
      <c r="C57" s="16">
        <f>'Levy Rate'!C57</f>
        <v>0</v>
      </c>
      <c r="D57" s="16">
        <f>'Levy Rate'!D57</f>
        <v>10717395116</v>
      </c>
      <c r="E57" s="53">
        <f>ROUND($D57*'Levy Rate'!E57,0)</f>
        <v>0</v>
      </c>
      <c r="F57" s="16">
        <f>ROUND($D57*'Levy Rate'!F57,0)-2</f>
        <v>7000000</v>
      </c>
      <c r="G57" s="16">
        <f>ROUND($D57*'Levy Rate'!G57,0)</f>
        <v>0</v>
      </c>
      <c r="H57" s="16">
        <f>ROUND($D57*'Levy Rate'!H57,0)</f>
        <v>0</v>
      </c>
      <c r="I57" s="16">
        <f>ROUND($D57*'Levy Rate'!I57,0)</f>
        <v>0</v>
      </c>
      <c r="J57" s="46" t="str">
        <f>IF('Levy Rate'!J57="","",'Levy Rate'!J57)</f>
        <v/>
      </c>
      <c r="K57" s="201"/>
      <c r="L57" s="16">
        <f>ROUND($D57*'Levy Rate'!L57,0)+1</f>
        <v>9642152</v>
      </c>
      <c r="M57" s="16">
        <f>ROUND($D57*'Levy Rate'!M57,0)-5</f>
        <v>2000000</v>
      </c>
      <c r="N57" s="198"/>
      <c r="O57" s="45"/>
      <c r="P57" s="255"/>
      <c r="Q57" s="257"/>
      <c r="R57" s="256"/>
    </row>
    <row r="58" spans="1:18" x14ac:dyDescent="0.2">
      <c r="A58" s="202"/>
      <c r="B58" s="213"/>
      <c r="C58" s="50"/>
      <c r="D58" s="50">
        <f>'Levy Rate'!D58</f>
        <v>9912874002</v>
      </c>
      <c r="E58" s="54"/>
      <c r="F58" s="50"/>
      <c r="G58" s="50"/>
      <c r="H58" s="50"/>
      <c r="I58" s="50"/>
      <c r="J58" s="51"/>
      <c r="K58" s="215"/>
      <c r="L58" s="50">
        <f>ROUND($D58*'Levy Rate'!L58,0)</f>
        <v>0</v>
      </c>
      <c r="M58" s="50"/>
      <c r="N58" s="199"/>
      <c r="O58" s="45"/>
      <c r="P58" s="262"/>
      <c r="Q58" s="266"/>
      <c r="R58" s="263"/>
    </row>
    <row r="59" spans="1:18" x14ac:dyDescent="0.2">
      <c r="A59" s="61">
        <f>'Levy Rate'!A59</f>
        <v>148</v>
      </c>
      <c r="B59" s="62" t="str">
        <f>'Levy Rate'!B59</f>
        <v>Grace Joint</v>
      </c>
      <c r="C59" s="63">
        <f>'Levy Rate'!C59</f>
        <v>316812070</v>
      </c>
      <c r="D59" s="63">
        <f>'Levy Rate'!D59</f>
        <v>0</v>
      </c>
      <c r="E59" s="64">
        <f>ROUND($C59*'Levy Rate'!E59,0)</f>
        <v>0</v>
      </c>
      <c r="F59" s="63">
        <f>ROUND($C59*'Levy Rate'!F59,0)</f>
        <v>358654</v>
      </c>
      <c r="G59" s="63">
        <f>ROUND($C59*'Levy Rate'!G59,0)</f>
        <v>0</v>
      </c>
      <c r="H59" s="63">
        <f>ROUND($C59*'Levy Rate'!H59,0)</f>
        <v>15518</v>
      </c>
      <c r="I59" s="63">
        <f>ROUND($C59*'Levy Rate'!I59,0)</f>
        <v>0</v>
      </c>
      <c r="J59" s="6" t="str">
        <f>IF('Levy Rate'!J59="","",'Levy Rate'!J59)</f>
        <v/>
      </c>
      <c r="K59" s="63">
        <f>SUM(E59:I59)</f>
        <v>374172</v>
      </c>
      <c r="L59" s="63">
        <f>ROUND($C59*'Levy Rate'!L59,0)</f>
        <v>0</v>
      </c>
      <c r="M59" s="63">
        <f>ROUND($C59*'Levy Rate'!M59,0)</f>
        <v>0</v>
      </c>
      <c r="N59" s="116">
        <f>SUM(K59:M59)</f>
        <v>374172</v>
      </c>
      <c r="O59" s="45"/>
      <c r="P59" s="118">
        <v>175000</v>
      </c>
      <c r="Q59" s="63">
        <v>91346</v>
      </c>
      <c r="R59" s="116"/>
    </row>
    <row r="60" spans="1:18" x14ac:dyDescent="0.2">
      <c r="A60" s="61">
        <f>'Levy Rate'!A60</f>
        <v>149</v>
      </c>
      <c r="B60" s="62" t="str">
        <f>'Levy Rate'!B60</f>
        <v>North Gem</v>
      </c>
      <c r="C60" s="63">
        <f>'Levy Rate'!C60</f>
        <v>206405189</v>
      </c>
      <c r="D60" s="63">
        <f>'Levy Rate'!D60</f>
        <v>0</v>
      </c>
      <c r="E60" s="64">
        <f>ROUND($C60*'Levy Rate'!E60,0)</f>
        <v>0</v>
      </c>
      <c r="F60" s="63">
        <f>ROUND($C60*'Levy Rate'!F60,0)</f>
        <v>283202</v>
      </c>
      <c r="G60" s="63">
        <f>ROUND($C60*'Levy Rate'!G60,0)</f>
        <v>0</v>
      </c>
      <c r="H60" s="63">
        <f>ROUND($C60*'Levy Rate'!H60,0)</f>
        <v>0</v>
      </c>
      <c r="I60" s="63">
        <f>ROUND($C60*'Levy Rate'!I60,0)</f>
        <v>0</v>
      </c>
      <c r="J60" s="6" t="str">
        <f>IF('Levy Rate'!J60="","",'Levy Rate'!J60)</f>
        <v/>
      </c>
      <c r="K60" s="63">
        <f>SUM(E60:I60)</f>
        <v>283202</v>
      </c>
      <c r="L60" s="63">
        <f>ROUND($C60*'Levy Rate'!L60,0)</f>
        <v>0</v>
      </c>
      <c r="M60" s="63">
        <f>ROUND($C60*'Levy Rate'!M60,0)</f>
        <v>100000</v>
      </c>
      <c r="N60" s="116">
        <f>SUM(K60:M60)</f>
        <v>383202</v>
      </c>
      <c r="O60" s="45"/>
      <c r="P60" s="118"/>
      <c r="Q60" s="63">
        <v>66371</v>
      </c>
      <c r="R60" s="116"/>
    </row>
    <row r="61" spans="1:18" x14ac:dyDescent="0.2">
      <c r="A61" s="61">
        <f>'Levy Rate'!A61</f>
        <v>150</v>
      </c>
      <c r="B61" s="62" t="str">
        <f>'Levy Rate'!B61</f>
        <v>Soda Springs Joint</v>
      </c>
      <c r="C61" s="63">
        <f>'Levy Rate'!C61</f>
        <v>1499442671</v>
      </c>
      <c r="D61" s="63">
        <f>'Levy Rate'!D61</f>
        <v>0</v>
      </c>
      <c r="E61" s="64">
        <f>ROUND($C61*'Levy Rate'!E61,0)</f>
        <v>0</v>
      </c>
      <c r="F61" s="63">
        <f>ROUND($C61*'Levy Rate'!F61,0)</f>
        <v>993000</v>
      </c>
      <c r="G61" s="63">
        <f>ROUND($C61*'Levy Rate'!G61,0)</f>
        <v>0</v>
      </c>
      <c r="H61" s="63">
        <f>ROUND($C61*'Levy Rate'!H61,0)</f>
        <v>204</v>
      </c>
      <c r="I61" s="63">
        <f>ROUND($C61*'Levy Rate'!I61,0)</f>
        <v>0</v>
      </c>
      <c r="J61" s="6" t="str">
        <f>IF('Levy Rate'!J61="","",'Levy Rate'!J61)</f>
        <v/>
      </c>
      <c r="K61" s="63">
        <f>SUM(E61:I61)</f>
        <v>993204</v>
      </c>
      <c r="L61" s="63">
        <f>ROUND($C61*'Levy Rate'!L61,0)</f>
        <v>187000</v>
      </c>
      <c r="M61" s="63">
        <f>ROUND($C61*'Levy Rate'!M61,0)+1</f>
        <v>498000</v>
      </c>
      <c r="N61" s="116">
        <f>SUM(K61:M61)</f>
        <v>1678204</v>
      </c>
      <c r="O61" s="45"/>
      <c r="P61" s="118">
        <v>460092</v>
      </c>
      <c r="Q61" s="63"/>
      <c r="R61" s="116"/>
    </row>
    <row r="62" spans="1:18" x14ac:dyDescent="0.2">
      <c r="A62" s="193">
        <f>'Levy Rate'!A62:A63</f>
        <v>151</v>
      </c>
      <c r="B62" s="195" t="str">
        <f>'Levy Rate'!B62:B63</f>
        <v>Cassia County Joint</v>
      </c>
      <c r="C62" s="48">
        <f>'Levy Rate'!C62</f>
        <v>3266647511</v>
      </c>
      <c r="D62" s="48">
        <f>'Levy Rate'!D62</f>
        <v>0</v>
      </c>
      <c r="E62" s="57">
        <f>ROUND($C62*'Levy Rate'!E62,0)</f>
        <v>0</v>
      </c>
      <c r="F62" s="48">
        <f>ROUND($C62*'Levy Rate'!F62,0)</f>
        <v>0</v>
      </c>
      <c r="G62" s="48">
        <f>ROUND($C62*'Levy Rate'!G62,0)</f>
        <v>0</v>
      </c>
      <c r="H62" s="48">
        <f>ROUND($C62*'Levy Rate'!H62,0)+1</f>
        <v>15439</v>
      </c>
      <c r="I62" s="48">
        <f>ROUND($C62*'Levy Rate'!I62,0)</f>
        <v>0</v>
      </c>
      <c r="J62" s="49" t="str">
        <f>IF('Levy Rate'!J62="","",'Levy Rate'!J62)</f>
        <v/>
      </c>
      <c r="K62" s="200">
        <f>SUM(E62:I63)</f>
        <v>1838737</v>
      </c>
      <c r="L62" s="48">
        <f>ROUND($C62*'Levy Rate'!L62,0)</f>
        <v>0</v>
      </c>
      <c r="M62" s="48">
        <f>ROUND($C62*'Levy Rate'!M62,0)</f>
        <v>0</v>
      </c>
      <c r="N62" s="197">
        <f>SUM(K62:M63)</f>
        <v>4838737</v>
      </c>
      <c r="O62" s="45"/>
      <c r="P62" s="255">
        <v>1868730</v>
      </c>
      <c r="Q62" s="257">
        <v>971702</v>
      </c>
      <c r="R62" s="256"/>
    </row>
    <row r="63" spans="1:18" x14ac:dyDescent="0.2">
      <c r="A63" s="194"/>
      <c r="B63" s="196"/>
      <c r="C63" s="50">
        <f>'Levy Rate'!C63</f>
        <v>0</v>
      </c>
      <c r="D63" s="50">
        <f>'Levy Rate'!D63</f>
        <v>3574372411</v>
      </c>
      <c r="E63" s="54">
        <f>ROUND($D63*'Levy Rate'!E63,0)</f>
        <v>0</v>
      </c>
      <c r="F63" s="50">
        <f>ROUND($D63*'Levy Rate'!F63,0)</f>
        <v>1823298</v>
      </c>
      <c r="G63" s="50">
        <f>ROUND($D63*'Levy Rate'!G63,0)</f>
        <v>0</v>
      </c>
      <c r="H63" s="50">
        <f>ROUND($D63*'Levy Rate'!H63,0)</f>
        <v>0</v>
      </c>
      <c r="I63" s="50">
        <f>ROUND($D63*'Levy Rate'!I63,0)</f>
        <v>0</v>
      </c>
      <c r="J63" s="51" t="str">
        <f>IF('Levy Rate'!J63="","",'Levy Rate'!J63)</f>
        <v/>
      </c>
      <c r="K63" s="210"/>
      <c r="L63" s="50">
        <f>ROUND($D63*'Levy Rate'!L63,0)</f>
        <v>0</v>
      </c>
      <c r="M63" s="50">
        <f>ROUND($D63*'Levy Rate'!M63,0)+1</f>
        <v>3000000</v>
      </c>
      <c r="N63" s="211"/>
      <c r="O63" s="45"/>
      <c r="P63" s="255"/>
      <c r="Q63" s="257"/>
      <c r="R63" s="256"/>
    </row>
    <row r="64" spans="1:18" x14ac:dyDescent="0.2">
      <c r="A64" s="61">
        <f>'Levy Rate'!A64</f>
        <v>161</v>
      </c>
      <c r="B64" s="62" t="str">
        <f>'Levy Rate'!B64</f>
        <v>Clark County Joint</v>
      </c>
      <c r="C64" s="63">
        <f>'Levy Rate'!C64</f>
        <v>194789476</v>
      </c>
      <c r="D64" s="63">
        <f>'Levy Rate'!D64</f>
        <v>0</v>
      </c>
      <c r="E64" s="64">
        <f>ROUND($C64*'Levy Rate'!E64,0)</f>
        <v>0</v>
      </c>
      <c r="F64" s="63">
        <f>ROUND($C64*'Levy Rate'!F64,0)</f>
        <v>196236</v>
      </c>
      <c r="G64" s="63">
        <f>ROUND($C64*'Levy Rate'!G64,0)</f>
        <v>0</v>
      </c>
      <c r="H64" s="63">
        <f>ROUND($C64*'Levy Rate'!H64,0)</f>
        <v>3279</v>
      </c>
      <c r="I64" s="63">
        <f>ROUND($C64*'Levy Rate'!I64,0)</f>
        <v>0</v>
      </c>
      <c r="J64" s="6" t="str">
        <f>IF('Levy Rate'!J64="","",'Levy Rate'!J64)</f>
        <v/>
      </c>
      <c r="K64" s="63">
        <f t="shared" ref="K64:K69" si="0">SUM(E64:I64)</f>
        <v>199515</v>
      </c>
      <c r="L64" s="63">
        <f>ROUND($C64*'Levy Rate'!L64,0)</f>
        <v>0</v>
      </c>
      <c r="M64" s="63">
        <f>ROUND($C64*'Levy Rate'!M64,0)</f>
        <v>0</v>
      </c>
      <c r="N64" s="116">
        <f t="shared" ref="N64:N69" si="1">SUM(K64:M64)</f>
        <v>199515</v>
      </c>
      <c r="O64" s="45"/>
      <c r="P64" s="118"/>
      <c r="Q64" s="63">
        <v>53764</v>
      </c>
      <c r="R64" s="116"/>
    </row>
    <row r="65" spans="1:18" x14ac:dyDescent="0.2">
      <c r="A65" s="61">
        <f>'Levy Rate'!A65</f>
        <v>171</v>
      </c>
      <c r="B65" s="62" t="str">
        <f>'Levy Rate'!B65</f>
        <v>Orofino Joint</v>
      </c>
      <c r="C65" s="63">
        <f>'Levy Rate'!C65</f>
        <v>1078954422</v>
      </c>
      <c r="D65" s="63">
        <f>'Levy Rate'!D65</f>
        <v>0</v>
      </c>
      <c r="E65" s="64">
        <f>ROUND($C65*'Levy Rate'!E65,0)</f>
        <v>0</v>
      </c>
      <c r="F65" s="63">
        <f>ROUND($C65*'Levy Rate'!F65,0)</f>
        <v>2040798</v>
      </c>
      <c r="G65" s="63">
        <f>ROUND($C65*'Levy Rate'!G65,0)</f>
        <v>0</v>
      </c>
      <c r="H65" s="63">
        <f>ROUND($C65*'Levy Rate'!H65,0)</f>
        <v>6174</v>
      </c>
      <c r="I65" s="63">
        <f>ROUND($C65*'Levy Rate'!I65,0)</f>
        <v>0</v>
      </c>
      <c r="J65" s="6" t="str">
        <f>IF('Levy Rate'!J65="","",'Levy Rate'!J65)</f>
        <v/>
      </c>
      <c r="K65" s="63">
        <f t="shared" si="0"/>
        <v>2046972</v>
      </c>
      <c r="L65" s="63">
        <f>ROUND($C65*'Levy Rate'!L65,0)</f>
        <v>0</v>
      </c>
      <c r="M65" s="63">
        <f>ROUND($C65*'Levy Rate'!M65,0)</f>
        <v>0</v>
      </c>
      <c r="N65" s="116">
        <f t="shared" si="1"/>
        <v>2046972</v>
      </c>
      <c r="O65" s="45"/>
      <c r="P65" s="118"/>
      <c r="Q65" s="63">
        <v>644202</v>
      </c>
      <c r="R65" s="116"/>
    </row>
    <row r="66" spans="1:18" x14ac:dyDescent="0.2">
      <c r="A66" s="61">
        <f>'Levy Rate'!A66</f>
        <v>181</v>
      </c>
      <c r="B66" s="62" t="str">
        <f>'Levy Rate'!B66</f>
        <v>Challis Joint</v>
      </c>
      <c r="C66" s="63">
        <f>'Levy Rate'!C66</f>
        <v>980263741</v>
      </c>
      <c r="D66" s="63">
        <f>'Levy Rate'!D66</f>
        <v>0</v>
      </c>
      <c r="E66" s="64">
        <f>ROUND($C66*'Levy Rate'!E66,0)</f>
        <v>0</v>
      </c>
      <c r="F66" s="63">
        <f>ROUND($C66*'Levy Rate'!F66,0)</f>
        <v>519637</v>
      </c>
      <c r="G66" s="63">
        <f>ROUND($C66*'Levy Rate'!G66,0)</f>
        <v>0</v>
      </c>
      <c r="H66" s="63">
        <f>ROUND($C66*'Levy Rate'!H66,0)</f>
        <v>7528</v>
      </c>
      <c r="I66" s="63">
        <f>ROUND($C66*'Levy Rate'!I66,0)</f>
        <v>0</v>
      </c>
      <c r="J66" s="6" t="str">
        <f>IF('Levy Rate'!J66="","",'Levy Rate'!J66)</f>
        <v/>
      </c>
      <c r="K66" s="63">
        <f t="shared" si="0"/>
        <v>527165</v>
      </c>
      <c r="L66" s="63">
        <f>ROUND($C66*'Levy Rate'!L66,0)</f>
        <v>0</v>
      </c>
      <c r="M66" s="63">
        <f>ROUND($C66*'Levy Rate'!M66,0)</f>
        <v>50000</v>
      </c>
      <c r="N66" s="116">
        <f t="shared" si="1"/>
        <v>577165</v>
      </c>
      <c r="O66" s="45"/>
      <c r="P66" s="118"/>
      <c r="Q66" s="63">
        <v>180363</v>
      </c>
      <c r="R66" s="116"/>
    </row>
    <row r="67" spans="1:18" x14ac:dyDescent="0.2">
      <c r="A67" s="61">
        <f>'Levy Rate'!A67</f>
        <v>182</v>
      </c>
      <c r="B67" s="62" t="str">
        <f>'Levy Rate'!B67</f>
        <v>Mackay Joint</v>
      </c>
      <c r="C67" s="63">
        <f>'Levy Rate'!C67</f>
        <v>311185650</v>
      </c>
      <c r="D67" s="63">
        <f>'Levy Rate'!D67</f>
        <v>0</v>
      </c>
      <c r="E67" s="64">
        <f>ROUND($C67*'Levy Rate'!E67,0)</f>
        <v>0</v>
      </c>
      <c r="F67" s="63">
        <f>ROUND($C67*'Levy Rate'!F67,0)</f>
        <v>0</v>
      </c>
      <c r="G67" s="63">
        <f>ROUND($C67*'Levy Rate'!G67,0)</f>
        <v>0</v>
      </c>
      <c r="H67" s="63">
        <f>ROUND($C67*'Levy Rate'!H67,0)</f>
        <v>11530</v>
      </c>
      <c r="I67" s="63">
        <f>ROUND($C67*'Levy Rate'!I67,0)</f>
        <v>0</v>
      </c>
      <c r="J67" s="6" t="str">
        <f>IF('Levy Rate'!J67="","",'Levy Rate'!J67)</f>
        <v/>
      </c>
      <c r="K67" s="63">
        <f t="shared" si="0"/>
        <v>11530</v>
      </c>
      <c r="L67" s="63">
        <f>ROUND($C67*'Levy Rate'!L67,0)</f>
        <v>0</v>
      </c>
      <c r="M67" s="63">
        <f>ROUND($C67*'Levy Rate'!M67,0)</f>
        <v>123665</v>
      </c>
      <c r="N67" s="116">
        <f t="shared" si="1"/>
        <v>135195</v>
      </c>
      <c r="O67" s="45"/>
      <c r="P67" s="118"/>
      <c r="Q67" s="63">
        <v>85000</v>
      </c>
      <c r="R67" s="116">
        <v>25937</v>
      </c>
    </row>
    <row r="68" spans="1:18" x14ac:dyDescent="0.2">
      <c r="A68" s="61">
        <f>'Levy Rate'!A68</f>
        <v>191</v>
      </c>
      <c r="B68" s="62" t="str">
        <f>'Levy Rate'!B68</f>
        <v>Prairie Elementary</v>
      </c>
      <c r="C68" s="63">
        <f>'Levy Rate'!C68</f>
        <v>26101859</v>
      </c>
      <c r="D68" s="63">
        <f>'Levy Rate'!D68</f>
        <v>0</v>
      </c>
      <c r="E68" s="64">
        <f>ROUND($C68*'Levy Rate'!E68,0)</f>
        <v>0</v>
      </c>
      <c r="F68" s="63">
        <f>ROUND($C68*'Levy Rate'!F68,0)</f>
        <v>0</v>
      </c>
      <c r="G68" s="63">
        <f>ROUND($C68*'Levy Rate'!G68,0)</f>
        <v>0</v>
      </c>
      <c r="H68" s="63">
        <f>ROUND($C68*'Levy Rate'!H68,0)</f>
        <v>2632</v>
      </c>
      <c r="I68" s="63">
        <f>ROUND($C68*'Levy Rate'!I68,0)</f>
        <v>0</v>
      </c>
      <c r="J68" s="6" t="str">
        <f>IF('Levy Rate'!J68="","",'Levy Rate'!J68)</f>
        <v/>
      </c>
      <c r="K68" s="63">
        <f t="shared" si="0"/>
        <v>2632</v>
      </c>
      <c r="L68" s="63">
        <f>ROUND($C68*'Levy Rate'!L68,0)</f>
        <v>0</v>
      </c>
      <c r="M68" s="63">
        <f>ROUND($C68*'Levy Rate'!M68,0)</f>
        <v>0</v>
      </c>
      <c r="N68" s="116">
        <f t="shared" si="1"/>
        <v>2632</v>
      </c>
      <c r="O68" s="45"/>
      <c r="P68" s="118"/>
      <c r="Q68" s="63"/>
      <c r="R68" s="116"/>
    </row>
    <row r="69" spans="1:18" x14ac:dyDescent="0.2">
      <c r="A69" s="61">
        <f>'Levy Rate'!A69</f>
        <v>192</v>
      </c>
      <c r="B69" s="62" t="str">
        <f>'Levy Rate'!B69</f>
        <v>Glenns Ferry Joint</v>
      </c>
      <c r="C69" s="63">
        <f>'Levy Rate'!C69</f>
        <v>554722958</v>
      </c>
      <c r="D69" s="63">
        <f>'Levy Rate'!D69</f>
        <v>0</v>
      </c>
      <c r="E69" s="64">
        <f>ROUND($C69*'Levy Rate'!E69,0)</f>
        <v>0</v>
      </c>
      <c r="F69" s="63">
        <f>ROUND($C69*'Levy Rate'!F69,0)</f>
        <v>165142</v>
      </c>
      <c r="G69" s="63">
        <f>ROUND($C69*'Levy Rate'!G69,0)</f>
        <v>0</v>
      </c>
      <c r="H69" s="63">
        <f>ROUND($C69*'Levy Rate'!H69,0)</f>
        <v>49961</v>
      </c>
      <c r="I69" s="63">
        <f>ROUND($C69*'Levy Rate'!I69,0)</f>
        <v>0</v>
      </c>
      <c r="J69" s="6" t="str">
        <f>IF('Levy Rate'!J69="","",'Levy Rate'!J69)</f>
        <v/>
      </c>
      <c r="K69" s="63">
        <f t="shared" si="0"/>
        <v>215103</v>
      </c>
      <c r="L69" s="63">
        <f>ROUND($C69*'Levy Rate'!L69,0)</f>
        <v>0</v>
      </c>
      <c r="M69" s="63">
        <f>ROUND($C69*'Levy Rate'!M69,0)</f>
        <v>0</v>
      </c>
      <c r="N69" s="116">
        <f t="shared" si="1"/>
        <v>215103</v>
      </c>
      <c r="O69" s="45"/>
      <c r="P69" s="118"/>
      <c r="Q69" s="63">
        <v>184858</v>
      </c>
      <c r="R69" s="116"/>
    </row>
    <row r="70" spans="1:18" x14ac:dyDescent="0.2">
      <c r="A70" s="220">
        <f>'Levy Rate'!A70</f>
        <v>193</v>
      </c>
      <c r="B70" s="195" t="str">
        <f>'Levy Rate'!B70</f>
        <v>Mountain Home</v>
      </c>
      <c r="C70" s="48">
        <f>'Levy Rate'!C70</f>
        <v>2952809818</v>
      </c>
      <c r="D70" s="48">
        <f>'Levy Rate'!D70</f>
        <v>0</v>
      </c>
      <c r="E70" s="57">
        <f>ROUND($C70*'Levy Rate'!E70,0)</f>
        <v>0</v>
      </c>
      <c r="F70" s="48">
        <f>ROUND($C70*'Levy Rate'!F70,0)</f>
        <v>0</v>
      </c>
      <c r="G70" s="48">
        <f>ROUND($C70*'Levy Rate'!G70,0)</f>
        <v>0</v>
      </c>
      <c r="H70" s="48">
        <f>ROUND($C70*'Levy Rate'!H70,0)+1</f>
        <v>16377</v>
      </c>
      <c r="I70" s="48">
        <f>ROUND($C70*'Levy Rate'!I70,0)</f>
        <v>0</v>
      </c>
      <c r="J70" s="49" t="str">
        <f>IF('Levy Rate'!J70="","",'Levy Rate'!J70)</f>
        <v/>
      </c>
      <c r="K70" s="216">
        <f>SUM(E70:I71)</f>
        <v>786634</v>
      </c>
      <c r="L70" s="48">
        <f>ROUND($C70*'Levy Rate'!L70,0)</f>
        <v>0</v>
      </c>
      <c r="M70" s="48">
        <f>ROUND($C70*'Levy Rate'!M70,0)</f>
        <v>0</v>
      </c>
      <c r="N70" s="218">
        <f>SUM(K70:M71)</f>
        <v>786634</v>
      </c>
      <c r="O70" s="45"/>
      <c r="P70" s="258"/>
      <c r="Q70" s="264">
        <v>1929743</v>
      </c>
      <c r="R70" s="260"/>
    </row>
    <row r="71" spans="1:18" x14ac:dyDescent="0.2">
      <c r="A71" s="221"/>
      <c r="B71" s="196"/>
      <c r="C71" s="50">
        <f>'Levy Rate'!C71</f>
        <v>0</v>
      </c>
      <c r="D71" s="50">
        <f>'Levy Rate'!D71</f>
        <v>3024874811</v>
      </c>
      <c r="E71" s="54">
        <f>ROUND($D71*'Levy Rate'!E71,0)</f>
        <v>0</v>
      </c>
      <c r="F71" s="50">
        <f>ROUND($D71*'Levy Rate'!F71,0)</f>
        <v>770257</v>
      </c>
      <c r="G71" s="50">
        <f>ROUND($D71*'Levy Rate'!G71,0)</f>
        <v>0</v>
      </c>
      <c r="H71" s="50">
        <f>ROUND($D71*'Levy Rate'!H71,0)</f>
        <v>0</v>
      </c>
      <c r="I71" s="50">
        <f>ROUND($D71*'Levy Rate'!I71,0)</f>
        <v>0</v>
      </c>
      <c r="J71" s="51"/>
      <c r="K71" s="238"/>
      <c r="L71" s="50">
        <f>ROUND($D71*'Levy Rate'!L71,0)</f>
        <v>0</v>
      </c>
      <c r="M71" s="50">
        <f>ROUND($D71*'Levy Rate'!M71,0)</f>
        <v>0</v>
      </c>
      <c r="N71" s="239"/>
      <c r="O71" s="45"/>
      <c r="P71" s="258"/>
      <c r="Q71" s="264"/>
      <c r="R71" s="260"/>
    </row>
    <row r="72" spans="1:18" x14ac:dyDescent="0.2">
      <c r="A72" s="61">
        <f>'Levy Rate'!A72</f>
        <v>201</v>
      </c>
      <c r="B72" s="62" t="str">
        <f>'Levy Rate'!B72</f>
        <v>Preston Joint</v>
      </c>
      <c r="C72" s="63">
        <f>'Levy Rate'!C72</f>
        <v>1262724808</v>
      </c>
      <c r="D72" s="63">
        <f>'Levy Rate'!D72</f>
        <v>0</v>
      </c>
      <c r="E72" s="64">
        <f>ROUND($C72*'Levy Rate'!E72,0)</f>
        <v>0</v>
      </c>
      <c r="F72" s="63">
        <f>ROUND($C72*'Levy Rate'!F72,0)</f>
        <v>0</v>
      </c>
      <c r="G72" s="63">
        <f>ROUND($C72*'Levy Rate'!G72,0)</f>
        <v>0</v>
      </c>
      <c r="H72" s="63">
        <f>ROUND($C72*'Levy Rate'!H72,0)-1</f>
        <v>48281</v>
      </c>
      <c r="I72" s="63">
        <f>ROUND($C72*'Levy Rate'!I72,0)</f>
        <v>0</v>
      </c>
      <c r="J72" s="6" t="str">
        <f>IF('Levy Rate'!J72="","",'Levy Rate'!J72)</f>
        <v/>
      </c>
      <c r="K72" s="63">
        <f>SUM(E72:I72)</f>
        <v>48281</v>
      </c>
      <c r="L72" s="63">
        <f>ROUND($C72*'Levy Rate'!L72,0)</f>
        <v>0</v>
      </c>
      <c r="M72" s="63">
        <f>ROUND($C72*'Levy Rate'!M72,0)</f>
        <v>595900</v>
      </c>
      <c r="N72" s="116">
        <f>SUM(K72:M72)</f>
        <v>644181</v>
      </c>
      <c r="O72" s="45"/>
      <c r="P72" s="118"/>
      <c r="Q72" s="63">
        <v>1000000</v>
      </c>
      <c r="R72" s="116">
        <v>304100</v>
      </c>
    </row>
    <row r="73" spans="1:18" x14ac:dyDescent="0.2">
      <c r="A73" s="61">
        <f>'Levy Rate'!A73</f>
        <v>202</v>
      </c>
      <c r="B73" s="62" t="str">
        <f>'Levy Rate'!B73</f>
        <v>West Side Joint</v>
      </c>
      <c r="C73" s="63">
        <f>'Levy Rate'!C73</f>
        <v>366286511</v>
      </c>
      <c r="D73" s="63">
        <f>'Levy Rate'!D73</f>
        <v>0</v>
      </c>
      <c r="E73" s="64">
        <f>ROUND($C73*'Levy Rate'!E73,0)</f>
        <v>0</v>
      </c>
      <c r="F73" s="63">
        <f>ROUND($C73*'Levy Rate'!F73,0)</f>
        <v>0</v>
      </c>
      <c r="G73" s="63">
        <f>ROUND($C73*'Levy Rate'!G73,0)</f>
        <v>0</v>
      </c>
      <c r="H73" s="63">
        <f>ROUND($C73*'Levy Rate'!H73,0)</f>
        <v>53480</v>
      </c>
      <c r="I73" s="63">
        <f>ROUND($C73*'Levy Rate'!I73,0)</f>
        <v>0</v>
      </c>
      <c r="J73" s="6" t="str">
        <f>IF('Levy Rate'!J73="","",'Levy Rate'!J73)</f>
        <v/>
      </c>
      <c r="K73" s="63">
        <f>SUM(E73:I73)</f>
        <v>53480</v>
      </c>
      <c r="L73" s="63">
        <f>ROUND($C73*'Levy Rate'!L73,0)</f>
        <v>0</v>
      </c>
      <c r="M73" s="63">
        <f>ROUND($C73*'Levy Rate'!M73,0)</f>
        <v>0</v>
      </c>
      <c r="N73" s="116">
        <f>SUM(K73:M73)</f>
        <v>53480</v>
      </c>
      <c r="O73" s="45"/>
      <c r="P73" s="118"/>
      <c r="Q73" s="63"/>
      <c r="R73" s="116">
        <v>120000</v>
      </c>
    </row>
    <row r="74" spans="1:18" x14ac:dyDescent="0.2">
      <c r="A74" s="203">
        <f>'Levy Rate'!A74:A74</f>
        <v>215</v>
      </c>
      <c r="B74" s="205" t="str">
        <f>'Levy Rate'!B74:B74</f>
        <v>Fremont County Joint</v>
      </c>
      <c r="C74" s="48">
        <f>'Levy Rate'!C74</f>
        <v>4161113014</v>
      </c>
      <c r="D74" s="48">
        <f>'Levy Rate'!D74</f>
        <v>0</v>
      </c>
      <c r="E74" s="57">
        <f>ROUND($C74*'Levy Rate'!E74,0)</f>
        <v>0</v>
      </c>
      <c r="F74" s="48">
        <f>ROUND($C74*'Levy Rate'!F74,0)</f>
        <v>0</v>
      </c>
      <c r="G74" s="48">
        <f>ROUND($C74*'Levy Rate'!G74,0)</f>
        <v>0</v>
      </c>
      <c r="H74" s="48">
        <f>ROUND($C74*'Levy Rate'!H74,0)</f>
        <v>37388</v>
      </c>
      <c r="I74" s="48">
        <f>ROUND($C74*'Levy Rate'!I74,0)</f>
        <v>0</v>
      </c>
      <c r="J74" s="49" t="str">
        <f>IF('Levy Rate'!J74="","",'Levy Rate'!J74)</f>
        <v/>
      </c>
      <c r="K74" s="200">
        <f>SUM(E74:I76)</f>
        <v>366942</v>
      </c>
      <c r="L74" s="48">
        <f>ROUND($C74*'Levy Rate'!L74,0)</f>
        <v>0</v>
      </c>
      <c r="M74" s="48">
        <f>ROUND($D74*'Levy Rate'!M74,0)</f>
        <v>0</v>
      </c>
      <c r="N74" s="197">
        <f>SUM(K74:M76)</f>
        <v>1066942</v>
      </c>
      <c r="O74" s="45"/>
      <c r="P74" s="255"/>
      <c r="Q74" s="257">
        <v>1170446</v>
      </c>
      <c r="R74" s="256"/>
    </row>
    <row r="75" spans="1:18" x14ac:dyDescent="0.2">
      <c r="A75" s="207"/>
      <c r="B75" s="209"/>
      <c r="C75" s="16">
        <f>'Levy Rate'!C75</f>
        <v>0</v>
      </c>
      <c r="D75" s="16">
        <f>'Levy Rate'!D75</f>
        <v>4168546761</v>
      </c>
      <c r="E75" s="53">
        <f>ROUND($D75*'Levy Rate'!E75,0)</f>
        <v>0</v>
      </c>
      <c r="F75" s="16">
        <f>ROUND($D75*'Levy Rate'!F75,0)+1</f>
        <v>329554</v>
      </c>
      <c r="G75" s="16">
        <f>ROUND($D75*'Levy Rate'!G75,0)</f>
        <v>0</v>
      </c>
      <c r="H75" s="16">
        <f>ROUND($C75*'Levy Rate'!H75,0)</f>
        <v>0</v>
      </c>
      <c r="I75" s="16">
        <f>ROUND($D75*'Levy Rate'!I75,0)</f>
        <v>0</v>
      </c>
      <c r="J75" s="46"/>
      <c r="K75" s="201"/>
      <c r="L75" s="16">
        <f>ROUND($D75*'Levy Rate'!L75,0)</f>
        <v>0</v>
      </c>
      <c r="M75" s="16">
        <f>ROUND($D75*'Levy Rate'!M75,0)+1</f>
        <v>700000</v>
      </c>
      <c r="N75" s="198"/>
      <c r="O75" s="45"/>
      <c r="P75" s="255"/>
      <c r="Q75" s="257"/>
      <c r="R75" s="256"/>
    </row>
    <row r="76" spans="1:18" x14ac:dyDescent="0.2">
      <c r="A76" s="208"/>
      <c r="B76" s="208"/>
      <c r="C76" s="50"/>
      <c r="D76" s="50">
        <f>'Levy Rate'!D76</f>
        <v>4163075656</v>
      </c>
      <c r="E76" s="54"/>
      <c r="F76" s="50"/>
      <c r="G76" s="50"/>
      <c r="H76" s="50">
        <f>ROUND($C76*'Levy Rate'!H76,0)</f>
        <v>0</v>
      </c>
      <c r="I76" s="50"/>
      <c r="J76" s="51"/>
      <c r="K76" s="202"/>
      <c r="L76" s="50">
        <f>ROUND($D76*'Levy Rate'!L76,0)</f>
        <v>0</v>
      </c>
      <c r="M76" s="50">
        <f>ROUND($D76*'Levy Rate'!M76,0)</f>
        <v>0</v>
      </c>
      <c r="N76" s="199"/>
      <c r="O76" s="45"/>
      <c r="P76" s="262"/>
      <c r="Q76" s="266"/>
      <c r="R76" s="263"/>
    </row>
    <row r="77" spans="1:18" x14ac:dyDescent="0.2">
      <c r="A77" s="61">
        <f>'Levy Rate'!A77</f>
        <v>221</v>
      </c>
      <c r="B77" s="62" t="str">
        <f>'Levy Rate'!B77</f>
        <v>Emmett Independent</v>
      </c>
      <c r="C77" s="63">
        <f>'Levy Rate'!C77</f>
        <v>3067881660</v>
      </c>
      <c r="D77" s="63">
        <f>'Levy Rate'!D77</f>
        <v>0</v>
      </c>
      <c r="E77" s="64">
        <f>ROUND($C77*'Levy Rate'!E77,0)</f>
        <v>0</v>
      </c>
      <c r="F77" s="63">
        <f>ROUND($C77*'Levy Rate'!F77,0)</f>
        <v>0</v>
      </c>
      <c r="G77" s="63">
        <f>ROUND($C77*'Levy Rate'!G77,0)</f>
        <v>0</v>
      </c>
      <c r="H77" s="63">
        <f>ROUND($C77*'Levy Rate'!H77,0)+1</f>
        <v>45028</v>
      </c>
      <c r="I77" s="63">
        <f>ROUND($C77*'Levy Rate'!I77,0)</f>
        <v>0</v>
      </c>
      <c r="J77" s="6" t="str">
        <f>IF('Levy Rate'!J77="","",'Levy Rate'!J77)</f>
        <v/>
      </c>
      <c r="K77" s="63">
        <f t="shared" ref="K77:K82" si="2">SUM(E77:I77)</f>
        <v>45028</v>
      </c>
      <c r="L77" s="63">
        <f>ROUND($C77*'Levy Rate'!L77,0)</f>
        <v>0</v>
      </c>
      <c r="M77" s="63">
        <f>ROUND($C77*'Levy Rate'!M77,0)</f>
        <v>0</v>
      </c>
      <c r="N77" s="116">
        <f t="shared" ref="N77:N82" si="3">SUM(K77:M77)</f>
        <v>45028</v>
      </c>
      <c r="O77" s="45"/>
      <c r="P77" s="118"/>
      <c r="Q77" s="63">
        <v>1000000</v>
      </c>
      <c r="R77" s="116"/>
    </row>
    <row r="78" spans="1:18" x14ac:dyDescent="0.2">
      <c r="A78" s="61">
        <f>'Levy Rate'!A78</f>
        <v>231</v>
      </c>
      <c r="B78" s="62" t="str">
        <f>'Levy Rate'!B78</f>
        <v>Gooding Joint</v>
      </c>
      <c r="C78" s="63">
        <f>'Levy Rate'!C78</f>
        <v>943008263</v>
      </c>
      <c r="D78" s="63">
        <f>'Levy Rate'!D78</f>
        <v>0</v>
      </c>
      <c r="E78" s="64">
        <f>ROUND($C78*'Levy Rate'!E78,0)</f>
        <v>0</v>
      </c>
      <c r="F78" s="63">
        <f>ROUND($C78*'Levy Rate'!F78,0)</f>
        <v>140524</v>
      </c>
      <c r="G78" s="63">
        <f>ROUND($C78*'Levy Rate'!G78,0)</f>
        <v>0</v>
      </c>
      <c r="H78" s="63">
        <f>ROUND($C78*'Levy Rate'!H78,0)</f>
        <v>1852</v>
      </c>
      <c r="I78" s="63">
        <f>ROUND($C78*'Levy Rate'!I78,0)</f>
        <v>0</v>
      </c>
      <c r="J78" s="6" t="str">
        <f>IF('Levy Rate'!J78="","",'Levy Rate'!J78)</f>
        <v/>
      </c>
      <c r="K78" s="63">
        <f t="shared" si="2"/>
        <v>142376</v>
      </c>
      <c r="L78" s="63">
        <f>ROUND($C78*'Levy Rate'!L78,0)</f>
        <v>0</v>
      </c>
      <c r="M78" s="63">
        <f>ROUND($C78*'Levy Rate'!M78,0)</f>
        <v>950000</v>
      </c>
      <c r="N78" s="116">
        <f t="shared" si="3"/>
        <v>1092376</v>
      </c>
      <c r="O78" s="45"/>
      <c r="P78" s="118"/>
      <c r="Q78" s="63">
        <v>618476</v>
      </c>
      <c r="R78" s="116"/>
    </row>
    <row r="79" spans="1:18" x14ac:dyDescent="0.2">
      <c r="A79" s="61">
        <f>'Levy Rate'!A79</f>
        <v>232</v>
      </c>
      <c r="B79" s="62" t="str">
        <f>'Levy Rate'!B79</f>
        <v>Wendell</v>
      </c>
      <c r="C79" s="63">
        <f>'Levy Rate'!C79</f>
        <v>703094288</v>
      </c>
      <c r="D79" s="63">
        <f>'Levy Rate'!D79</f>
        <v>0</v>
      </c>
      <c r="E79" s="64">
        <f>ROUND($C79*'Levy Rate'!E79,0)</f>
        <v>0</v>
      </c>
      <c r="F79" s="63">
        <f>ROUND($C79*'Levy Rate'!F79,0)</f>
        <v>600000</v>
      </c>
      <c r="G79" s="63">
        <f>ROUND($C79*'Levy Rate'!G79,0)</f>
        <v>0</v>
      </c>
      <c r="H79" s="63">
        <f>ROUND($C79*'Levy Rate'!H79,0)</f>
        <v>0</v>
      </c>
      <c r="I79" s="63">
        <f>ROUND($C79*'Levy Rate'!I79,0)</f>
        <v>0</v>
      </c>
      <c r="J79" s="6" t="str">
        <f>IF('Levy Rate'!J79="","",'Levy Rate'!J79)</f>
        <v/>
      </c>
      <c r="K79" s="63">
        <f t="shared" si="2"/>
        <v>600000</v>
      </c>
      <c r="L79" s="63">
        <f>ROUND($C79*'Levy Rate'!L79,0)</f>
        <v>27403</v>
      </c>
      <c r="M79" s="63">
        <f>ROUND($C79*'Levy Rate'!M79,0)</f>
        <v>0</v>
      </c>
      <c r="N79" s="116">
        <f t="shared" si="3"/>
        <v>627403</v>
      </c>
      <c r="O79" s="45"/>
      <c r="P79" s="118">
        <v>591867</v>
      </c>
      <c r="Q79" s="63"/>
      <c r="R79" s="116"/>
    </row>
    <row r="80" spans="1:18" x14ac:dyDescent="0.2">
      <c r="A80" s="61">
        <f>'Levy Rate'!A80</f>
        <v>233</v>
      </c>
      <c r="B80" s="62" t="str">
        <f>'Levy Rate'!B80</f>
        <v>Hagerman Joint</v>
      </c>
      <c r="C80" s="63">
        <f>'Levy Rate'!C80</f>
        <v>423876184</v>
      </c>
      <c r="D80" s="63">
        <f>'Levy Rate'!D80</f>
        <v>0</v>
      </c>
      <c r="E80" s="64">
        <f>ROUND($C80*'Levy Rate'!E80,0)</f>
        <v>0</v>
      </c>
      <c r="F80" s="63">
        <f>ROUND($C80*'Levy Rate'!F80,0)</f>
        <v>0</v>
      </c>
      <c r="G80" s="63">
        <f>ROUND($C80*'Levy Rate'!G80,0)</f>
        <v>0</v>
      </c>
      <c r="H80" s="63">
        <f>ROUND($C80*'Levy Rate'!H80,0)</f>
        <v>9588</v>
      </c>
      <c r="I80" s="63">
        <f>ROUND($C80*'Levy Rate'!I80,0)</f>
        <v>0</v>
      </c>
      <c r="J80" s="6" t="str">
        <f>IF('Levy Rate'!J80="","",'Levy Rate'!J80)</f>
        <v/>
      </c>
      <c r="K80" s="63">
        <f t="shared" si="2"/>
        <v>9588</v>
      </c>
      <c r="L80" s="63">
        <f>ROUND($C80*'Levy Rate'!L80,0)</f>
        <v>0</v>
      </c>
      <c r="M80" s="63">
        <f>ROUND($C80*'Levy Rate'!M80,0)</f>
        <v>225555</v>
      </c>
      <c r="N80" s="116">
        <f t="shared" si="3"/>
        <v>235143</v>
      </c>
      <c r="O80" s="45"/>
      <c r="P80" s="118"/>
      <c r="Q80" s="63"/>
      <c r="R80" s="116">
        <v>174445</v>
      </c>
    </row>
    <row r="81" spans="1:22" x14ac:dyDescent="0.2">
      <c r="A81" s="61">
        <f>'Levy Rate'!A81</f>
        <v>234</v>
      </c>
      <c r="B81" s="62" t="str">
        <f>'Levy Rate'!B81</f>
        <v>Bliss Joint</v>
      </c>
      <c r="C81" s="63">
        <f>'Levy Rate'!C81</f>
        <v>187715321</v>
      </c>
      <c r="D81" s="63">
        <f>'Levy Rate'!D81</f>
        <v>0</v>
      </c>
      <c r="E81" s="64">
        <f>ROUND($C81*'Levy Rate'!E81,0)</f>
        <v>0</v>
      </c>
      <c r="F81" s="63">
        <f>ROUND($C81*'Levy Rate'!F81,0)</f>
        <v>0</v>
      </c>
      <c r="G81" s="63">
        <f>ROUND($C81*'Levy Rate'!G81,0)</f>
        <v>0</v>
      </c>
      <c r="H81" s="63">
        <f>ROUND($C81*'Levy Rate'!H81,0)</f>
        <v>9508</v>
      </c>
      <c r="I81" s="63">
        <f>ROUND($C81*'Levy Rate'!I81,0)</f>
        <v>0</v>
      </c>
      <c r="J81" s="6" t="str">
        <f>IF('Levy Rate'!J81="","",'Levy Rate'!J81)</f>
        <v/>
      </c>
      <c r="K81" s="63">
        <f t="shared" si="2"/>
        <v>9508</v>
      </c>
      <c r="L81" s="63">
        <f>ROUND($C81*'Levy Rate'!L81,0)</f>
        <v>21311</v>
      </c>
      <c r="M81" s="63">
        <f>ROUND($C81*'Levy Rate'!M81,0)</f>
        <v>50000</v>
      </c>
      <c r="N81" s="116">
        <f t="shared" si="3"/>
        <v>80819</v>
      </c>
      <c r="O81" s="45"/>
      <c r="P81" s="118">
        <v>68689</v>
      </c>
      <c r="Q81" s="63"/>
      <c r="R81" s="116"/>
    </row>
    <row r="82" spans="1:22" x14ac:dyDescent="0.2">
      <c r="A82" s="61">
        <f>'Levy Rate'!A82</f>
        <v>242</v>
      </c>
      <c r="B82" s="62" t="str">
        <f>'Levy Rate'!B82</f>
        <v>Cottonwood Joint</v>
      </c>
      <c r="C82" s="63">
        <f>'Levy Rate'!C82</f>
        <v>294878791</v>
      </c>
      <c r="D82" s="63">
        <f>'Levy Rate'!D82</f>
        <v>0</v>
      </c>
      <c r="E82" s="64">
        <f>ROUND($C82*'Levy Rate'!E82,0)</f>
        <v>0</v>
      </c>
      <c r="F82" s="63">
        <f>ROUND($C82*'Levy Rate'!F82,0)</f>
        <v>0</v>
      </c>
      <c r="G82" s="63">
        <f>ROUND($C82*'Levy Rate'!G82,0)</f>
        <v>0</v>
      </c>
      <c r="H82" s="63">
        <f>ROUND($C82*'Levy Rate'!H82,0)</f>
        <v>24809</v>
      </c>
      <c r="I82" s="63">
        <f>ROUND($C82*'Levy Rate'!I82,0)</f>
        <v>0</v>
      </c>
      <c r="J82" s="6" t="str">
        <f>IF('Levy Rate'!J82="","",'Levy Rate'!J82)</f>
        <v/>
      </c>
      <c r="K82" s="63">
        <f t="shared" si="2"/>
        <v>24809</v>
      </c>
      <c r="L82" s="63">
        <f>ROUND($C82*'Levy Rate'!L82,0)</f>
        <v>0</v>
      </c>
      <c r="M82" s="63">
        <f>ROUND($C82*'Levy Rate'!M82,0)</f>
        <v>0</v>
      </c>
      <c r="N82" s="116">
        <f t="shared" si="3"/>
        <v>24809</v>
      </c>
      <c r="O82" s="45"/>
      <c r="P82" s="118"/>
      <c r="Q82" s="63">
        <v>175000</v>
      </c>
      <c r="R82" s="116"/>
    </row>
    <row r="83" spans="1:22" x14ac:dyDescent="0.2">
      <c r="A83" s="193">
        <f>'Levy Rate'!A83:A84</f>
        <v>243</v>
      </c>
      <c r="B83" s="195" t="str">
        <f>'Levy Rate'!B83:B84</f>
        <v>Salmon River</v>
      </c>
      <c r="C83" s="48">
        <f>'Levy Rate'!C83</f>
        <v>297903276</v>
      </c>
      <c r="D83" s="48">
        <f>'Levy Rate'!D83</f>
        <v>0</v>
      </c>
      <c r="E83" s="57">
        <f>ROUND($C83*'Levy Rate'!E83,0)</f>
        <v>0</v>
      </c>
      <c r="F83" s="48">
        <f>ROUND($C83*'Levy Rate'!F83,0)</f>
        <v>0</v>
      </c>
      <c r="G83" s="48">
        <f>ROUND($C83*'Levy Rate'!G83,0)</f>
        <v>0</v>
      </c>
      <c r="H83" s="48">
        <f>ROUND($C83*'Levy Rate'!H83,0)</f>
        <v>0</v>
      </c>
      <c r="I83" s="48">
        <f>ROUND($C83*'Levy Rate'!I83,0)</f>
        <v>0</v>
      </c>
      <c r="J83" s="49" t="str">
        <f>IF('Levy Rate'!J83="","",'Levy Rate'!J83)</f>
        <v/>
      </c>
      <c r="K83" s="200">
        <f>SUM(E83:I84)</f>
        <v>420392</v>
      </c>
      <c r="L83" s="48">
        <f>ROUND($C83*'Levy Rate'!L83,0)</f>
        <v>0</v>
      </c>
      <c r="M83" s="48">
        <f>ROUND($C83*'Levy Rate'!M83,0)</f>
        <v>0</v>
      </c>
      <c r="N83" s="197">
        <f>SUM(K83:M84)</f>
        <v>420392</v>
      </c>
      <c r="O83" s="45"/>
      <c r="P83" s="255"/>
      <c r="Q83" s="257">
        <v>74039</v>
      </c>
      <c r="R83" s="256"/>
    </row>
    <row r="84" spans="1:22" x14ac:dyDescent="0.2">
      <c r="A84" s="194"/>
      <c r="B84" s="196"/>
      <c r="C84" s="50">
        <f>'Levy Rate'!C84</f>
        <v>0</v>
      </c>
      <c r="D84" s="50">
        <f>'Levy Rate'!D84</f>
        <v>309299038</v>
      </c>
      <c r="E84" s="54">
        <f>ROUND($D84*'Levy Rate'!E84,0)</f>
        <v>0</v>
      </c>
      <c r="F84" s="50">
        <f>ROUND($D84*'Levy Rate'!F84,0)</f>
        <v>420392</v>
      </c>
      <c r="G84" s="50">
        <f>ROUND($D84*'Levy Rate'!G84,0)</f>
        <v>0</v>
      </c>
      <c r="H84" s="50">
        <f>ROUND($D84*'Levy Rate'!H84,0)</f>
        <v>0</v>
      </c>
      <c r="I84" s="50">
        <f>ROUND($D84*'Levy Rate'!I84,0)</f>
        <v>0</v>
      </c>
      <c r="J84" s="51" t="str">
        <f>IF('Levy Rate'!J84="","",'Levy Rate'!J84)</f>
        <v/>
      </c>
      <c r="K84" s="210"/>
      <c r="L84" s="50">
        <f>ROUND($D84*'Levy Rate'!L84,0)</f>
        <v>0</v>
      </c>
      <c r="M84" s="50">
        <f>ROUND($D84*'Levy Rate'!M84,0)</f>
        <v>0</v>
      </c>
      <c r="N84" s="211"/>
      <c r="O84" s="45"/>
      <c r="P84" s="255"/>
      <c r="Q84" s="257"/>
      <c r="R84" s="256"/>
    </row>
    <row r="85" spans="1:22" x14ac:dyDescent="0.2">
      <c r="A85" s="61">
        <f>'Levy Rate'!A85</f>
        <v>244</v>
      </c>
      <c r="B85" s="62" t="str">
        <f>'Levy Rate'!B85</f>
        <v>Mountain View</v>
      </c>
      <c r="C85" s="63">
        <f>'Levy Rate'!C85</f>
        <v>1652917515</v>
      </c>
      <c r="D85" s="63">
        <f>'Levy Rate'!D85</f>
        <v>0</v>
      </c>
      <c r="E85" s="64">
        <f>ROUND($C85*'Levy Rate'!E85,0)</f>
        <v>0</v>
      </c>
      <c r="F85" s="63">
        <f>ROUND($C85*'Levy Rate'!F85,0)+1</f>
        <v>2349894</v>
      </c>
      <c r="G85" s="63">
        <f>ROUND($C85*'Levy Rate'!G85,0)</f>
        <v>0</v>
      </c>
      <c r="H85" s="63">
        <f>ROUND($C85*'Levy Rate'!H85,0)</f>
        <v>43849</v>
      </c>
      <c r="I85" s="63">
        <f>ROUND($C85*'Levy Rate'!I85,0)+1</f>
        <v>9</v>
      </c>
      <c r="J85" s="6" t="str">
        <f>IF('Levy Rate'!J85="","",'Levy Rate'!J85)</f>
        <v>j</v>
      </c>
      <c r="K85" s="63">
        <f>SUM(E85:I85)</f>
        <v>2393752</v>
      </c>
      <c r="L85" s="63">
        <f>ROUND($C85*'Levy Rate'!L85,0)</f>
        <v>0</v>
      </c>
      <c r="M85" s="63">
        <f>ROUND($C85*'Levy Rate'!M85,0)</f>
        <v>0</v>
      </c>
      <c r="N85" s="116">
        <f>SUM(K85:M85)</f>
        <v>2393752</v>
      </c>
      <c r="O85" s="45"/>
      <c r="P85" s="118"/>
      <c r="Q85" s="63">
        <v>586106</v>
      </c>
      <c r="R85" s="116"/>
    </row>
    <row r="86" spans="1:22" x14ac:dyDescent="0.2">
      <c r="A86" s="203">
        <f>'Levy Rate'!A86:A86</f>
        <v>251</v>
      </c>
      <c r="B86" s="205" t="str">
        <f>'Levy Rate'!B86:B86</f>
        <v>Jefferson County Jt</v>
      </c>
      <c r="C86" s="48">
        <f>'Levy Rate'!C86</f>
        <v>3224988214</v>
      </c>
      <c r="D86" s="48">
        <f>'Levy Rate'!D86</f>
        <v>0</v>
      </c>
      <c r="E86" s="57">
        <f>ROUND($C86*'Levy Rate'!E86,0)</f>
        <v>0</v>
      </c>
      <c r="F86" s="48">
        <f>ROUND($C86*'Levy Rate'!F86,0)</f>
        <v>0</v>
      </c>
      <c r="G86" s="48">
        <f>ROUND($C86*'Levy Rate'!G86,0)</f>
        <v>0</v>
      </c>
      <c r="H86" s="48">
        <f>ROUND($C86*'Levy Rate'!H86,0)</f>
        <v>0</v>
      </c>
      <c r="I86" s="48">
        <f>ROUND($C86*'Levy Rate'!I86,0)</f>
        <v>0</v>
      </c>
      <c r="J86" s="49" t="str">
        <f>IF('Levy Rate'!J86="","",'Levy Rate'!J86)</f>
        <v/>
      </c>
      <c r="K86" s="200">
        <f>SUM(E86:I87)</f>
        <v>0</v>
      </c>
      <c r="L86" s="48">
        <f>ROUND($C86*'Levy Rate'!L86,0)</f>
        <v>0</v>
      </c>
      <c r="M86" s="48">
        <f>ROUND($C86*'Levy Rate'!M86,0)</f>
        <v>0</v>
      </c>
      <c r="N86" s="197">
        <f>SUM(K86:M87)</f>
        <v>4683158</v>
      </c>
      <c r="O86" s="45"/>
      <c r="P86" s="255">
        <v>3260245</v>
      </c>
      <c r="Q86" s="257"/>
      <c r="R86" s="256"/>
    </row>
    <row r="87" spans="1:22" x14ac:dyDescent="0.2">
      <c r="A87" s="204"/>
      <c r="B87" s="206"/>
      <c r="C87" s="50">
        <f>'Levy Rate'!C87</f>
        <v>0</v>
      </c>
      <c r="D87" s="50">
        <f>'Levy Rate'!D87</f>
        <v>3301311577</v>
      </c>
      <c r="E87" s="54">
        <f>ROUND($D87*'Levy Rate'!E87,0)</f>
        <v>0</v>
      </c>
      <c r="F87" s="50">
        <f>ROUND($D87*'Levy Rate'!F87,0)</f>
        <v>0</v>
      </c>
      <c r="G87" s="50">
        <f>ROUND($D87*'Levy Rate'!G87,0)</f>
        <v>0</v>
      </c>
      <c r="H87" s="50">
        <f>ROUND($D87*'Levy Rate'!H87,0)</f>
        <v>0</v>
      </c>
      <c r="I87" s="50">
        <f>ROUND($D87*'Levy Rate'!I87,0)</f>
        <v>0</v>
      </c>
      <c r="J87" s="51"/>
      <c r="K87" s="210"/>
      <c r="L87" s="50">
        <f>ROUND($D87*'Levy Rate'!L87,0)-3</f>
        <v>4683158</v>
      </c>
      <c r="M87" s="50">
        <f>ROUND($D87*'Levy Rate'!M87,0)</f>
        <v>0</v>
      </c>
      <c r="N87" s="211"/>
      <c r="O87" s="45"/>
      <c r="P87" s="255"/>
      <c r="Q87" s="257"/>
      <c r="R87" s="256"/>
    </row>
    <row r="88" spans="1:22" x14ac:dyDescent="0.2">
      <c r="A88" s="61">
        <f>'Levy Rate'!A88</f>
        <v>252</v>
      </c>
      <c r="B88" s="62" t="str">
        <f>'Levy Rate'!B88</f>
        <v>Ririe Joint</v>
      </c>
      <c r="C88" s="63">
        <f>'Levy Rate'!C88</f>
        <v>415621404</v>
      </c>
      <c r="D88" s="63">
        <f>'Levy Rate'!D88</f>
        <v>0</v>
      </c>
      <c r="E88" s="64">
        <f>ROUND($C88*'Levy Rate'!E88,0)</f>
        <v>0</v>
      </c>
      <c r="F88" s="63">
        <f>ROUND($C88*'Levy Rate'!F88,0)</f>
        <v>290000</v>
      </c>
      <c r="G88" s="63">
        <f>ROUND($C88*'Levy Rate'!G88,0)</f>
        <v>0</v>
      </c>
      <c r="H88" s="63">
        <f>ROUND($C88*'Levy Rate'!H88,0)</f>
        <v>6972</v>
      </c>
      <c r="I88" s="63">
        <f>ROUND($C88*'Levy Rate'!I88,0)</f>
        <v>0</v>
      </c>
      <c r="J88" s="6" t="str">
        <f>IF('Levy Rate'!J88="","",'Levy Rate'!J88)</f>
        <v/>
      </c>
      <c r="K88" s="63">
        <f>SUM(E88:I88)</f>
        <v>296972</v>
      </c>
      <c r="L88" s="63">
        <f>ROUND($C88*'Levy Rate'!L88,0)</f>
        <v>26599</v>
      </c>
      <c r="M88" s="63">
        <f>ROUND($C88*'Levy Rate'!M88,0)</f>
        <v>0</v>
      </c>
      <c r="N88" s="116">
        <f>SUM(K88:M88)</f>
        <v>323571</v>
      </c>
      <c r="O88" s="45"/>
      <c r="P88" s="118">
        <v>373401</v>
      </c>
      <c r="Q88" s="63"/>
      <c r="R88" s="116"/>
    </row>
    <row r="89" spans="1:22" x14ac:dyDescent="0.2">
      <c r="A89" s="61">
        <f>'Levy Rate'!A89</f>
        <v>253</v>
      </c>
      <c r="B89" s="62" t="str">
        <f>'Levy Rate'!B89</f>
        <v>West Jefferson</v>
      </c>
      <c r="C89" s="63">
        <f>'Levy Rate'!C89</f>
        <v>337094992</v>
      </c>
      <c r="D89" s="63">
        <f>'Levy Rate'!D89</f>
        <v>0</v>
      </c>
      <c r="E89" s="64">
        <f>ROUND($C89*'Levy Rate'!E89,0)</f>
        <v>0</v>
      </c>
      <c r="F89" s="63">
        <f>ROUND($C89*'Levy Rate'!F89,0)</f>
        <v>333263</v>
      </c>
      <c r="G89" s="63">
        <f>ROUND($C89*'Levy Rate'!G89,0)</f>
        <v>0</v>
      </c>
      <c r="H89" s="63">
        <f>ROUND($C89*'Levy Rate'!H89,0)</f>
        <v>7288</v>
      </c>
      <c r="I89" s="63">
        <f>ROUND($C89*'Levy Rate'!I89,0)</f>
        <v>0</v>
      </c>
      <c r="J89" s="6" t="str">
        <f>IF('Levy Rate'!J89="","",'Levy Rate'!J89)</f>
        <v/>
      </c>
      <c r="K89" s="63">
        <f>SUM(E89:I89)</f>
        <v>340551</v>
      </c>
      <c r="L89" s="63">
        <f>ROUND($C89*'Levy Rate'!L89,0)</f>
        <v>0</v>
      </c>
      <c r="M89" s="63">
        <f>ROUND($C89*'Levy Rate'!M89,0)</f>
        <v>0</v>
      </c>
      <c r="N89" s="116">
        <f>SUM(K89:M89)</f>
        <v>340551</v>
      </c>
      <c r="O89" s="45"/>
      <c r="P89" s="118">
        <v>300000</v>
      </c>
      <c r="Q89" s="63">
        <v>26737</v>
      </c>
      <c r="R89" s="116"/>
    </row>
    <row r="90" spans="1:22" x14ac:dyDescent="0.2">
      <c r="A90" s="193">
        <f>'Levy Rate'!A90:A91</f>
        <v>261</v>
      </c>
      <c r="B90" s="195" t="str">
        <f>'Levy Rate'!B90:B91</f>
        <v>Jerome Joint</v>
      </c>
      <c r="C90" s="48">
        <f>'Levy Rate'!C90</f>
        <v>2550411897</v>
      </c>
      <c r="D90" s="48">
        <f>'Levy Rate'!D90</f>
        <v>0</v>
      </c>
      <c r="E90" s="57">
        <f>ROUND($C90*'Levy Rate'!E90,0)</f>
        <v>0</v>
      </c>
      <c r="F90" s="48">
        <f>ROUND($C90*'Levy Rate'!F90,0)</f>
        <v>0</v>
      </c>
      <c r="G90" s="48">
        <f>ROUND($C90*'Levy Rate'!G90,0)</f>
        <v>0</v>
      </c>
      <c r="H90" s="48">
        <f>ROUND($C90*'Levy Rate'!H90,0)</f>
        <v>0</v>
      </c>
      <c r="I90" s="48">
        <f>ROUND($C90*'Levy Rate'!I90,0)</f>
        <v>0</v>
      </c>
      <c r="J90" s="49" t="str">
        <f>IF('Levy Rate'!J90="","",'Levy Rate'!J90)</f>
        <v/>
      </c>
      <c r="K90" s="200">
        <f>SUM(E90:I92)</f>
        <v>1231688</v>
      </c>
      <c r="L90" s="48">
        <f>ROUND($C90*'Levy Rate'!L90,0)</f>
        <v>0</v>
      </c>
      <c r="M90" s="48">
        <f>ROUND($C90*'Levy Rate'!M90,0)</f>
        <v>0</v>
      </c>
      <c r="N90" s="197">
        <f>SUM(K90:M92)</f>
        <v>5460000</v>
      </c>
      <c r="O90" s="45"/>
      <c r="P90" s="255">
        <v>2099109</v>
      </c>
      <c r="Q90" s="257"/>
      <c r="R90" s="256"/>
    </row>
    <row r="91" spans="1:22" x14ac:dyDescent="0.2">
      <c r="A91" s="214"/>
      <c r="B91" s="212"/>
      <c r="C91" s="16">
        <f>'Levy Rate'!C91</f>
        <v>0</v>
      </c>
      <c r="D91" s="16">
        <f>'Levy Rate'!D91</f>
        <v>2669989285</v>
      </c>
      <c r="E91" s="53">
        <f>ROUND($D91*'Levy Rate'!E91,0)</f>
        <v>0</v>
      </c>
      <c r="F91" s="16">
        <f>ROUND($D91*'Levy Rate'!F91,0)+1</f>
        <v>1231688</v>
      </c>
      <c r="G91" s="16">
        <f>ROUND($D91*'Levy Rate'!G91,0)</f>
        <v>0</v>
      </c>
      <c r="H91" s="16">
        <f>ROUND($D91*'Levy Rate'!H91,0)</f>
        <v>0</v>
      </c>
      <c r="I91" s="16">
        <f>ROUND($D91*'Levy Rate'!I91,0)</f>
        <v>0</v>
      </c>
      <c r="J91" s="46"/>
      <c r="K91" s="201"/>
      <c r="L91" s="16">
        <f>ROUND($D91*'Levy Rate'!L91,0)-1</f>
        <v>2635038</v>
      </c>
      <c r="M91" s="16">
        <f>ROUND($D91*'Levy Rate'!M91,0)+1</f>
        <v>700000</v>
      </c>
      <c r="N91" s="198"/>
      <c r="O91" s="45"/>
      <c r="P91" s="255"/>
      <c r="Q91" s="257"/>
      <c r="R91" s="256"/>
    </row>
    <row r="92" spans="1:22" x14ac:dyDescent="0.2">
      <c r="A92" s="202"/>
      <c r="B92" s="213"/>
      <c r="C92" s="50"/>
      <c r="D92" s="50">
        <f>'Levy Rate'!D92</f>
        <v>2669989285</v>
      </c>
      <c r="E92" s="54"/>
      <c r="F92" s="50"/>
      <c r="G92" s="50"/>
      <c r="H92" s="50"/>
      <c r="I92" s="50"/>
      <c r="J92" s="51"/>
      <c r="K92" s="202"/>
      <c r="L92" s="50">
        <f>ROUND($D92*'Levy Rate'!L92,0)</f>
        <v>893274</v>
      </c>
      <c r="M92" s="50"/>
      <c r="N92" s="199"/>
      <c r="O92" s="45"/>
      <c r="P92" s="262"/>
      <c r="Q92" s="266"/>
      <c r="R92" s="263"/>
    </row>
    <row r="93" spans="1:22" x14ac:dyDescent="0.2">
      <c r="A93" s="61">
        <f>'Levy Rate'!A93</f>
        <v>262</v>
      </c>
      <c r="B93" s="62" t="str">
        <f>'Levy Rate'!B93</f>
        <v>Valley</v>
      </c>
      <c r="C93" s="63">
        <f>'Levy Rate'!C93</f>
        <v>407061659</v>
      </c>
      <c r="D93" s="63">
        <f>'Levy Rate'!D93</f>
        <v>0</v>
      </c>
      <c r="E93" s="64">
        <f>ROUND($C93*'Levy Rate'!E93,0)</f>
        <v>0</v>
      </c>
      <c r="F93" s="63">
        <f>ROUND($C93*'Levy Rate'!F93,0)</f>
        <v>30476</v>
      </c>
      <c r="G93" s="63">
        <f>ROUND($C93*'Levy Rate'!G93,0)</f>
        <v>0</v>
      </c>
      <c r="H93" s="63">
        <f>ROUND($C93*'Levy Rate'!H93,0)</f>
        <v>7954</v>
      </c>
      <c r="I93" s="63">
        <f>ROUND($C93*'Levy Rate'!I93,0)</f>
        <v>29340</v>
      </c>
      <c r="J93" s="6" t="str">
        <f>IF('Levy Rate'!J93="","",'Levy Rate'!J93)</f>
        <v>j</v>
      </c>
      <c r="K93" s="63">
        <f>SUM(E93:I93)</f>
        <v>67770</v>
      </c>
      <c r="L93" s="63">
        <f>ROUND($C93*'Levy Rate'!L93,0)</f>
        <v>0</v>
      </c>
      <c r="M93" s="63">
        <f>ROUND($C93*'Levy Rate'!M93,0)</f>
        <v>300000</v>
      </c>
      <c r="N93" s="116">
        <f>SUM(K93:M93)</f>
        <v>367770</v>
      </c>
      <c r="O93" s="45"/>
      <c r="P93" s="118"/>
      <c r="Q93" s="63">
        <v>269524</v>
      </c>
      <c r="R93" s="116"/>
    </row>
    <row r="94" spans="1:22" x14ac:dyDescent="0.2">
      <c r="A94" s="193">
        <f>'Levy Rate'!A94:A95</f>
        <v>271</v>
      </c>
      <c r="B94" s="195" t="str">
        <f>'Levy Rate'!B94:B95</f>
        <v>Coeur d' Alene</v>
      </c>
      <c r="C94" s="48">
        <f>'Levy Rate'!C94</f>
        <v>25517496979</v>
      </c>
      <c r="D94" s="48">
        <f>'Levy Rate'!D94</f>
        <v>0</v>
      </c>
      <c r="E94" s="57">
        <f>ROUND($C94*'Levy Rate'!E94,0)</f>
        <v>0</v>
      </c>
      <c r="F94" s="48">
        <f>ROUND($C94*'Levy Rate'!F94,0)</f>
        <v>0</v>
      </c>
      <c r="G94" s="48">
        <f>ROUND($C94*'Levy Rate'!G94,0)</f>
        <v>0</v>
      </c>
      <c r="H94" s="48">
        <f>ROUND($C94*'Levy Rate'!H94,0)-6</f>
        <v>206354</v>
      </c>
      <c r="I94" s="48">
        <f>ROUND($D94*'Levy Rate'!I94,0)</f>
        <v>0</v>
      </c>
      <c r="J94" s="49" t="str">
        <f>IF('Levy Rate'!J94="","",'Levy Rate'!J94)</f>
        <v/>
      </c>
      <c r="K94" s="200">
        <f>SUM(E94:I95)</f>
        <v>22206354</v>
      </c>
      <c r="L94" s="134">
        <f>ROUND($C94*'Levy Rate'!L94,0)</f>
        <v>0</v>
      </c>
      <c r="M94" s="48">
        <f>ROUND($C94*'Levy Rate'!M94,0)</f>
        <v>0</v>
      </c>
      <c r="N94" s="197">
        <f>SUM(K94:M95)</f>
        <v>22206354</v>
      </c>
      <c r="O94" s="45"/>
      <c r="P94" s="255">
        <v>1831945</v>
      </c>
      <c r="Q94" s="257">
        <v>3000000</v>
      </c>
      <c r="R94" s="256"/>
      <c r="S94" s="21"/>
      <c r="T94" s="21"/>
      <c r="U94" s="21"/>
      <c r="V94" s="21"/>
    </row>
    <row r="95" spans="1:22" x14ac:dyDescent="0.2">
      <c r="A95" s="194"/>
      <c r="B95" s="196"/>
      <c r="C95" s="50">
        <f>'Levy Rate'!C95</f>
        <v>0</v>
      </c>
      <c r="D95" s="50">
        <f>'Levy Rate'!D95</f>
        <v>26406557145</v>
      </c>
      <c r="E95" s="54">
        <f>ROUND($D95*'Levy Rate'!E95,0)</f>
        <v>0</v>
      </c>
      <c r="F95" s="50">
        <f>ROUND($D95*'Levy Rate'!F95,0)+11</f>
        <v>22000000</v>
      </c>
      <c r="G95" s="50">
        <f>ROUND($D95*'Levy Rate'!G95,0)</f>
        <v>0</v>
      </c>
      <c r="H95" s="50">
        <f>ROUND($D95*'Levy Rate'!H95,0)</f>
        <v>0</v>
      </c>
      <c r="I95" s="135">
        <f>ROUND($D95*'Levy Rate'!I95,0)</f>
        <v>0</v>
      </c>
      <c r="J95" s="51" t="str">
        <f>IF('Levy Rate'!J95="","",'Levy Rate'!J95)</f>
        <v/>
      </c>
      <c r="K95" s="210"/>
      <c r="L95" s="137">
        <f>ROUND($D95*'Levy Rate'!L95,0)</f>
        <v>0</v>
      </c>
      <c r="M95" s="50">
        <f>ROUND($D95*'Levy Rate'!M95,0)</f>
        <v>0</v>
      </c>
      <c r="N95" s="211"/>
      <c r="O95" s="45"/>
      <c r="P95" s="255"/>
      <c r="Q95" s="257"/>
      <c r="R95" s="256"/>
    </row>
    <row r="96" spans="1:22" x14ac:dyDescent="0.2">
      <c r="A96" s="193">
        <f>'Levy Rate'!A96:A97</f>
        <v>272</v>
      </c>
      <c r="B96" s="195" t="str">
        <f>'Levy Rate'!B96:B97</f>
        <v>Lakeland Joint</v>
      </c>
      <c r="C96" s="48">
        <f>'Levy Rate'!C96</f>
        <v>8944310633</v>
      </c>
      <c r="D96" s="48">
        <f>'Levy Rate'!D96</f>
        <v>0</v>
      </c>
      <c r="E96" s="57">
        <f>ROUND($C96*'Levy Rate'!E96,0)</f>
        <v>0</v>
      </c>
      <c r="F96" s="48">
        <f>ROUND($C96*'Levy Rate'!F96,0)</f>
        <v>0</v>
      </c>
      <c r="G96" s="48">
        <f>ROUND($C96*'Levy Rate'!G96,0)</f>
        <v>0</v>
      </c>
      <c r="H96" s="48">
        <f>ROUND($C96*'Levy Rate'!H96,0)-4</f>
        <v>106639</v>
      </c>
      <c r="I96" s="48">
        <f>ROUND($D96*'Levy Rate'!I96,0)</f>
        <v>0</v>
      </c>
      <c r="J96" s="49" t="str">
        <f>IF('Levy Rate'!J96="","",'Levy Rate'!J96)</f>
        <v/>
      </c>
      <c r="K96" s="200">
        <f>SUM(E96:I98)</f>
        <v>7251818</v>
      </c>
      <c r="L96" s="138">
        <f>ROUND($C96*'Levy Rate'!L96,0)</f>
        <v>0</v>
      </c>
      <c r="M96" s="48">
        <f>ROUND($C96*'Levy Rate'!M96,0)</f>
        <v>0</v>
      </c>
      <c r="N96" s="197">
        <f>SUM(K96:M98)</f>
        <v>8398338</v>
      </c>
      <c r="O96" s="45"/>
      <c r="P96" s="255"/>
      <c r="Q96" s="257">
        <v>2374821</v>
      </c>
      <c r="R96" s="256"/>
    </row>
    <row r="97" spans="1:18" x14ac:dyDescent="0.2">
      <c r="A97" s="214"/>
      <c r="B97" s="212"/>
      <c r="C97" s="16">
        <f>'Levy Rate'!C97</f>
        <v>0</v>
      </c>
      <c r="D97" s="16">
        <f>'Levy Rate'!D97</f>
        <v>9129605311</v>
      </c>
      <c r="E97" s="53">
        <f>ROUND($D97*'Levy Rate'!E97,0)</f>
        <v>0</v>
      </c>
      <c r="F97" s="16">
        <f>ROUND($D97*'Levy Rate'!F97,0)+3</f>
        <v>7145179</v>
      </c>
      <c r="G97" s="16">
        <f>ROUND($D97*'Levy Rate'!G97,0)</f>
        <v>0</v>
      </c>
      <c r="H97" s="16">
        <f>ROUND($D97*'Levy Rate'!H97,0)</f>
        <v>0</v>
      </c>
      <c r="I97" s="16">
        <f>ROUND($D97*'Levy Rate'!I97,0)</f>
        <v>0</v>
      </c>
      <c r="J97" s="46" t="str">
        <f>IF('Levy Rate'!J97="","",'Levy Rate'!J97)</f>
        <v/>
      </c>
      <c r="K97" s="201"/>
      <c r="L97" s="16">
        <f>ROUND($D97*'Levy Rate'!L97,0)</f>
        <v>0</v>
      </c>
      <c r="M97" s="16">
        <f>ROUND($D97*'Levy Rate'!M97,0)-3</f>
        <v>1146520</v>
      </c>
      <c r="N97" s="198"/>
      <c r="O97" s="45"/>
      <c r="P97" s="255"/>
      <c r="Q97" s="257"/>
      <c r="R97" s="256"/>
    </row>
    <row r="98" spans="1:18" x14ac:dyDescent="0.2">
      <c r="A98" s="202"/>
      <c r="B98" s="213"/>
      <c r="C98" s="50"/>
      <c r="D98" s="50">
        <f>'Levy Rate'!D98</f>
        <v>0</v>
      </c>
      <c r="E98" s="54"/>
      <c r="F98" s="50"/>
      <c r="G98" s="50"/>
      <c r="H98" s="50"/>
      <c r="I98" s="50"/>
      <c r="J98" s="51"/>
      <c r="K98" s="202"/>
      <c r="L98" s="52">
        <f>ROUND($D98*'Levy Rate'!L98,0)</f>
        <v>0</v>
      </c>
      <c r="M98" s="137">
        <f>ROUND($D98*'Levy Rate'!M98,0)</f>
        <v>0</v>
      </c>
      <c r="N98" s="199"/>
      <c r="O98" s="45"/>
      <c r="P98" s="262"/>
      <c r="Q98" s="266"/>
      <c r="R98" s="263"/>
    </row>
    <row r="99" spans="1:18" x14ac:dyDescent="0.2">
      <c r="A99" s="193">
        <f>'Levy Rate'!A99:A100</f>
        <v>273</v>
      </c>
      <c r="B99" s="195" t="str">
        <f>'Levy Rate'!B99:B100</f>
        <v>Post Falls</v>
      </c>
      <c r="C99" s="48">
        <f>'Levy Rate'!C99</f>
        <v>9334975550</v>
      </c>
      <c r="D99" s="48">
        <f>'Levy Rate'!D99</f>
        <v>0</v>
      </c>
      <c r="E99" s="57">
        <f>ROUND($C99*'Levy Rate'!E99,0)</f>
        <v>0</v>
      </c>
      <c r="F99" s="48">
        <f>ROUND($C99*'Levy Rate'!F99,0)</f>
        <v>0</v>
      </c>
      <c r="G99" s="48">
        <f>ROUND($C99*'Levy Rate'!G99,0)</f>
        <v>0</v>
      </c>
      <c r="H99" s="48">
        <f>ROUND($C99*'Levy Rate'!H99,0)+4</f>
        <v>107916</v>
      </c>
      <c r="I99" s="48">
        <f>ROUND($D99*'Levy Rate'!I99,0)</f>
        <v>0</v>
      </c>
      <c r="J99" s="49" t="str">
        <f>IF('Levy Rate'!J99="","",'Levy Rate'!J99)</f>
        <v/>
      </c>
      <c r="K99" s="200">
        <f>SUM(E99:I100)</f>
        <v>4448158</v>
      </c>
      <c r="L99" s="138">
        <f>ROUND($C99*'Levy Rate'!L99,0)</f>
        <v>0</v>
      </c>
      <c r="M99" s="48">
        <f>ROUND($C99*'Levy Rate'!M99,0)</f>
        <v>0</v>
      </c>
      <c r="N99" s="197">
        <f>SUM(K99:M100)</f>
        <v>4448158</v>
      </c>
      <c r="O99" s="45"/>
      <c r="P99" s="255">
        <v>1433000</v>
      </c>
      <c r="Q99" s="257">
        <v>1618309</v>
      </c>
      <c r="R99" s="256"/>
    </row>
    <row r="100" spans="1:18" x14ac:dyDescent="0.2">
      <c r="A100" s="194"/>
      <c r="B100" s="196"/>
      <c r="C100" s="50">
        <f>'Levy Rate'!C100</f>
        <v>0</v>
      </c>
      <c r="D100" s="50">
        <f>'Levy Rate'!D100</f>
        <v>9712863528</v>
      </c>
      <c r="E100" s="54">
        <f>ROUND($D100*'Levy Rate'!E100,0)</f>
        <v>0</v>
      </c>
      <c r="F100" s="50">
        <f>ROUND($D100*'Levy Rate'!F100,0)</f>
        <v>4340242</v>
      </c>
      <c r="G100" s="50">
        <f>ROUND($D100*'Levy Rate'!G100,0)</f>
        <v>0</v>
      </c>
      <c r="H100" s="50">
        <f>ROUND($D100*'Levy Rate'!H100,0)</f>
        <v>0</v>
      </c>
      <c r="I100" s="50">
        <f>ROUND($D100*'Levy Rate'!I100,0)</f>
        <v>0</v>
      </c>
      <c r="J100" s="51" t="str">
        <f>IF('Levy Rate'!J100="","",'Levy Rate'!J100)</f>
        <v/>
      </c>
      <c r="K100" s="210"/>
      <c r="L100" s="52">
        <f>ROUND($D100*'Levy Rate'!L100,0)</f>
        <v>0</v>
      </c>
      <c r="M100" s="50">
        <f>ROUND($D100*'Levy Rate'!M100,0)</f>
        <v>0</v>
      </c>
      <c r="N100" s="211"/>
      <c r="O100" s="45"/>
      <c r="P100" s="255"/>
      <c r="Q100" s="257"/>
      <c r="R100" s="256"/>
    </row>
    <row r="101" spans="1:18" x14ac:dyDescent="0.2">
      <c r="A101" s="193">
        <f>'Levy Rate'!A101</f>
        <v>274</v>
      </c>
      <c r="B101" s="195" t="str">
        <f>'Levy Rate'!B101</f>
        <v>Kootenai Joint</v>
      </c>
      <c r="C101" s="48">
        <f>'Levy Rate'!C101</f>
        <v>1651356593</v>
      </c>
      <c r="D101" s="48">
        <f>'Levy Rate'!D101</f>
        <v>0</v>
      </c>
      <c r="E101" s="57">
        <f>ROUND($C101*'Levy Rate'!E101,0)</f>
        <v>0</v>
      </c>
      <c r="F101" s="48">
        <f>ROUND($C101*'Levy Rate'!F101,0)</f>
        <v>0</v>
      </c>
      <c r="G101" s="48">
        <f>ROUND($C101*'Levy Rate'!G101,0)</f>
        <v>0</v>
      </c>
      <c r="H101" s="48">
        <f>ROUND($C101*'Levy Rate'!H101,0)</f>
        <v>15455</v>
      </c>
      <c r="I101" s="48">
        <f>ROUND($D101*'Levy Rate'!I101,0)</f>
        <v>0</v>
      </c>
      <c r="J101" s="49" t="str">
        <f>IF('Levy Rate'!J101="","",'Levy Rate'!J101)</f>
        <v/>
      </c>
      <c r="K101" s="216">
        <f>SUM(E101:I102)</f>
        <v>1278705</v>
      </c>
      <c r="L101" s="48">
        <f>ROUND($C101*'Levy Rate'!L101,0)</f>
        <v>0</v>
      </c>
      <c r="M101" s="48">
        <f>ROUND($C101*'Levy Rate'!M101,0)</f>
        <v>0</v>
      </c>
      <c r="N101" s="218">
        <f>SUM(K101:M102)</f>
        <v>1278705</v>
      </c>
      <c r="O101" s="45"/>
      <c r="P101" s="258"/>
      <c r="Q101" s="264">
        <v>109750</v>
      </c>
      <c r="R101" s="260"/>
    </row>
    <row r="102" spans="1:18" x14ac:dyDescent="0.2">
      <c r="A102" s="202"/>
      <c r="B102" s="213"/>
      <c r="C102" s="50"/>
      <c r="D102" s="50">
        <f>'Levy Rate'!D102</f>
        <v>1652395805</v>
      </c>
      <c r="E102" s="54"/>
      <c r="F102" s="50">
        <f>ROUND($D102*'Levy Rate'!F102,0)</f>
        <v>1263250</v>
      </c>
      <c r="G102" s="50"/>
      <c r="H102" s="50"/>
      <c r="I102" s="50">
        <f>ROUND($D102*'Levy Rate'!I102,0)</f>
        <v>0</v>
      </c>
      <c r="J102" s="51"/>
      <c r="K102" s="213"/>
      <c r="L102" s="52">
        <f>ROUND($D102*'Levy Rate'!L102,0)</f>
        <v>0</v>
      </c>
      <c r="M102" s="50"/>
      <c r="N102" s="219"/>
      <c r="O102" s="45"/>
      <c r="P102" s="259"/>
      <c r="Q102" s="265"/>
      <c r="R102" s="261"/>
    </row>
    <row r="103" spans="1:18" x14ac:dyDescent="0.2">
      <c r="A103" s="193">
        <f>'Levy Rate'!A103</f>
        <v>281</v>
      </c>
      <c r="B103" s="195" t="str">
        <f>'Levy Rate'!B103</f>
        <v>Moscow</v>
      </c>
      <c r="C103" s="48">
        <f>'Levy Rate'!C103</f>
        <v>3125823325</v>
      </c>
      <c r="D103" s="48">
        <f>'Levy Rate'!D103</f>
        <v>0</v>
      </c>
      <c r="E103" s="57">
        <f>ROUND($C103*'Levy Rate'!E103,0)</f>
        <v>0</v>
      </c>
      <c r="F103" s="48">
        <f>ROUND($C103*'Levy Rate'!F103,0)-1</f>
        <v>11357619</v>
      </c>
      <c r="G103" s="48">
        <f>ROUND($C103*'Levy Rate'!G103,0)</f>
        <v>0</v>
      </c>
      <c r="H103" s="48">
        <f>ROUND($C103*'Levy Rate'!H103,0)</f>
        <v>0</v>
      </c>
      <c r="I103" s="48">
        <f>ROUND($D103*'Levy Rate'!I103,0)</f>
        <v>0</v>
      </c>
      <c r="J103" s="49" t="str">
        <f>IF('Levy Rate'!J103="","",'Levy Rate'!J103)</f>
        <v/>
      </c>
      <c r="K103" s="216">
        <f>SUM(E103:I104)</f>
        <v>11357619</v>
      </c>
      <c r="L103" s="48">
        <f>ROUND($D103*'Levy Rate'!L103,0)</f>
        <v>0</v>
      </c>
      <c r="M103" s="48">
        <f>ROUND($C103*'Levy Rate'!M103,0)</f>
        <v>0</v>
      </c>
      <c r="N103" s="218">
        <f>SUM(K103:M104)</f>
        <v>11357619</v>
      </c>
      <c r="O103" s="45"/>
      <c r="P103" s="258">
        <v>651750</v>
      </c>
      <c r="Q103" s="264"/>
      <c r="R103" s="260"/>
    </row>
    <row r="104" spans="1:18" x14ac:dyDescent="0.2">
      <c r="A104" s="202"/>
      <c r="B104" s="213"/>
      <c r="C104" s="50"/>
      <c r="D104" s="50">
        <f>'Levy Rate'!D104</f>
        <v>3226773510</v>
      </c>
      <c r="E104" s="54"/>
      <c r="F104" s="50"/>
      <c r="G104" s="50"/>
      <c r="H104" s="50"/>
      <c r="I104" s="50">
        <f>ROUND($D104*'Levy Rate'!I104,0)</f>
        <v>0</v>
      </c>
      <c r="J104" s="51"/>
      <c r="K104" s="213"/>
      <c r="L104" s="50">
        <f>ROUND($D104*'Levy Rate'!L104,0)</f>
        <v>0</v>
      </c>
      <c r="M104" s="50"/>
      <c r="N104" s="219"/>
      <c r="O104" s="45"/>
      <c r="P104" s="259"/>
      <c r="Q104" s="265"/>
      <c r="R104" s="261"/>
    </row>
    <row r="105" spans="1:18" x14ac:dyDescent="0.2">
      <c r="A105" s="61">
        <f>'Levy Rate'!A105</f>
        <v>282</v>
      </c>
      <c r="B105" s="62" t="str">
        <f>'Levy Rate'!B105</f>
        <v>Genesee Joint</v>
      </c>
      <c r="C105" s="63">
        <f>'Levy Rate'!C105</f>
        <v>305212802</v>
      </c>
      <c r="D105" s="63">
        <f>'Levy Rate'!D105</f>
        <v>0</v>
      </c>
      <c r="E105" s="64">
        <f>ROUND($C105*'Levy Rate'!E105,0)</f>
        <v>0</v>
      </c>
      <c r="F105" s="63">
        <f>ROUND($C105*'Levy Rate'!F105,0)</f>
        <v>1132643</v>
      </c>
      <c r="G105" s="63">
        <f>ROUND($C105*'Levy Rate'!G105,0)</f>
        <v>0</v>
      </c>
      <c r="H105" s="63">
        <f>ROUND($C105*'Levy Rate'!H105,0)</f>
        <v>0</v>
      </c>
      <c r="I105" s="63">
        <f>ROUND($C105*'Levy Rate'!I105,0)</f>
        <v>0</v>
      </c>
      <c r="J105" s="6" t="str">
        <f>IF('Levy Rate'!J105="","",'Levy Rate'!J105)</f>
        <v/>
      </c>
      <c r="K105" s="63">
        <f t="shared" ref="K105:K166" si="4">SUM(E105:I105)</f>
        <v>1132643</v>
      </c>
      <c r="L105" s="63">
        <f>ROUND($C105*'Levy Rate'!L105,0)</f>
        <v>178427</v>
      </c>
      <c r="M105" s="63">
        <f>ROUND($C105*'Levy Rate'!M105,0)</f>
        <v>0</v>
      </c>
      <c r="N105" s="116">
        <f t="shared" ref="N105:N166" si="5">SUM(K105:M105)</f>
        <v>1311070</v>
      </c>
      <c r="O105" s="45"/>
      <c r="P105" s="118">
        <v>150373</v>
      </c>
      <c r="Q105" s="63"/>
      <c r="R105" s="116"/>
    </row>
    <row r="106" spans="1:18" x14ac:dyDescent="0.2">
      <c r="A106" s="61">
        <f>'Levy Rate'!A106</f>
        <v>283</v>
      </c>
      <c r="B106" s="62" t="str">
        <f>'Levy Rate'!B106</f>
        <v>Kendrick Joint</v>
      </c>
      <c r="C106" s="63">
        <f>'Levy Rate'!C106</f>
        <v>236978040</v>
      </c>
      <c r="D106" s="63">
        <f>'Levy Rate'!D106</f>
        <v>0</v>
      </c>
      <c r="E106" s="64"/>
      <c r="F106" s="63">
        <f>ROUND($C106*'Levy Rate'!F106,0)</f>
        <v>740359</v>
      </c>
      <c r="G106" s="63">
        <f>ROUND($C106*'Levy Rate'!G106,0)</f>
        <v>0</v>
      </c>
      <c r="H106" s="63">
        <f>ROUND($C106*'Levy Rate'!H106,0)</f>
        <v>0</v>
      </c>
      <c r="I106" s="63">
        <f>ROUND($C106*'Levy Rate'!I106,0)</f>
        <v>0</v>
      </c>
      <c r="J106" s="6" t="str">
        <f>IF('Levy Rate'!J106="","",'Levy Rate'!J106)</f>
        <v/>
      </c>
      <c r="K106" s="63">
        <f t="shared" si="4"/>
        <v>740359</v>
      </c>
      <c r="L106" s="63">
        <f>ROUND($C106*'Levy Rate'!L106,0)</f>
        <v>0</v>
      </c>
      <c r="M106" s="63">
        <f>ROUND($C106*'Levy Rate'!M106,0)</f>
        <v>0</v>
      </c>
      <c r="N106" s="116">
        <f t="shared" si="5"/>
        <v>740359</v>
      </c>
      <c r="O106" s="45"/>
      <c r="P106" s="118">
        <v>153270</v>
      </c>
      <c r="Q106" s="63"/>
      <c r="R106" s="116"/>
    </row>
    <row r="107" spans="1:18" x14ac:dyDescent="0.2">
      <c r="A107" s="61">
        <f>'Levy Rate'!A107</f>
        <v>285</v>
      </c>
      <c r="B107" s="62" t="str">
        <f>'Levy Rate'!B107</f>
        <v>Potlatch</v>
      </c>
      <c r="C107" s="63">
        <f>'Levy Rate'!C107</f>
        <v>479185243</v>
      </c>
      <c r="D107" s="63">
        <f>'Levy Rate'!D107</f>
        <v>0</v>
      </c>
      <c r="E107" s="64">
        <f>ROUND($C107*'Levy Rate'!E107,0)</f>
        <v>0</v>
      </c>
      <c r="F107" s="63">
        <f>ROUND($C107*'Levy Rate'!F107,0)</f>
        <v>1457231</v>
      </c>
      <c r="G107" s="63">
        <f>ROUND($C107*'Levy Rate'!G107,0)</f>
        <v>0</v>
      </c>
      <c r="H107" s="63">
        <f>ROUND($C107*'Levy Rate'!H107,0)</f>
        <v>3217</v>
      </c>
      <c r="I107" s="63">
        <f>ROUND($C107*'Levy Rate'!I107,0)</f>
        <v>0</v>
      </c>
      <c r="J107" s="6" t="str">
        <f>IF('Levy Rate'!J107="","",'Levy Rate'!J107)</f>
        <v/>
      </c>
      <c r="K107" s="63">
        <f t="shared" si="4"/>
        <v>1460448</v>
      </c>
      <c r="L107" s="63">
        <f>ROUND($C107*'Levy Rate'!L107,0)</f>
        <v>0</v>
      </c>
      <c r="M107" s="63">
        <f>ROUND($C107*'Levy Rate'!M107,0)</f>
        <v>0</v>
      </c>
      <c r="N107" s="116">
        <f t="shared" si="5"/>
        <v>1460448</v>
      </c>
      <c r="O107" s="45"/>
      <c r="P107" s="118"/>
      <c r="Q107" s="63">
        <v>242769</v>
      </c>
      <c r="R107" s="116"/>
    </row>
    <row r="108" spans="1:18" x14ac:dyDescent="0.2">
      <c r="A108" s="61">
        <f>'Levy Rate'!A108</f>
        <v>287</v>
      </c>
      <c r="B108" s="62" t="str">
        <f>'Levy Rate'!B108</f>
        <v>Troy</v>
      </c>
      <c r="C108" s="63">
        <f>'Levy Rate'!C108</f>
        <v>302776339</v>
      </c>
      <c r="D108" s="63">
        <f>'Levy Rate'!D108</f>
        <v>0</v>
      </c>
      <c r="E108" s="64">
        <f>ROUND($C108*'Levy Rate'!E108,0)</f>
        <v>0</v>
      </c>
      <c r="F108" s="63">
        <f>ROUND($C108*'Levy Rate'!F108,0)</f>
        <v>815169</v>
      </c>
      <c r="G108" s="63">
        <f>ROUND($C108*'Levy Rate'!G108,0)</f>
        <v>0</v>
      </c>
      <c r="H108" s="63">
        <f>ROUND($C108*'Levy Rate'!H108,0)</f>
        <v>0</v>
      </c>
      <c r="I108" s="63">
        <f>ROUND($C108*'Levy Rate'!I108,0)</f>
        <v>0</v>
      </c>
      <c r="J108" s="6" t="str">
        <f>IF('Levy Rate'!J108="","",'Levy Rate'!J108)</f>
        <v/>
      </c>
      <c r="K108" s="63">
        <f t="shared" si="4"/>
        <v>815169</v>
      </c>
      <c r="L108" s="63">
        <f>ROUND($C108*'Levy Rate'!L108,0)</f>
        <v>0</v>
      </c>
      <c r="M108" s="63">
        <f>ROUND($C108*'Levy Rate'!M108,0)</f>
        <v>0</v>
      </c>
      <c r="N108" s="116">
        <f t="shared" si="5"/>
        <v>815169</v>
      </c>
      <c r="O108" s="45"/>
      <c r="P108" s="118"/>
      <c r="Q108" s="63">
        <v>174873</v>
      </c>
      <c r="R108" s="116"/>
    </row>
    <row r="109" spans="1:18" x14ac:dyDescent="0.2">
      <c r="A109" s="61">
        <f>'Levy Rate'!A109</f>
        <v>288</v>
      </c>
      <c r="B109" s="62" t="str">
        <f>'Levy Rate'!B109</f>
        <v>Whitepine Joint</v>
      </c>
      <c r="C109" s="63">
        <f>'Levy Rate'!C109</f>
        <v>343650610</v>
      </c>
      <c r="D109" s="63">
        <f>'Levy Rate'!D109</f>
        <v>0</v>
      </c>
      <c r="E109" s="64">
        <f>ROUND($C109*'Levy Rate'!E109,0)</f>
        <v>0</v>
      </c>
      <c r="F109" s="63">
        <f>ROUND($C109*'Levy Rate'!F109,0)</f>
        <v>759559</v>
      </c>
      <c r="G109" s="63">
        <f>ROUND($C109*'Levy Rate'!G109,0)</f>
        <v>0</v>
      </c>
      <c r="H109" s="63">
        <f>ROUND($C109*'Levy Rate'!H109,0)</f>
        <v>0</v>
      </c>
      <c r="I109" s="63">
        <f>ROUND($C109*'Levy Rate'!I109,0)</f>
        <v>0</v>
      </c>
      <c r="J109" s="6" t="str">
        <f>IF('Levy Rate'!J109="","",'Levy Rate'!J109)</f>
        <v/>
      </c>
      <c r="K109" s="63">
        <f t="shared" si="4"/>
        <v>759559</v>
      </c>
      <c r="L109" s="63">
        <f>ROUND($C109*'Levy Rate'!L109,0)</f>
        <v>0</v>
      </c>
      <c r="M109" s="63">
        <f>ROUND($C109*'Levy Rate'!M109,0)</f>
        <v>0</v>
      </c>
      <c r="N109" s="116">
        <f t="shared" si="5"/>
        <v>759559</v>
      </c>
      <c r="O109" s="45"/>
      <c r="P109" s="118"/>
      <c r="Q109" s="63">
        <v>110780</v>
      </c>
      <c r="R109" s="116"/>
    </row>
    <row r="110" spans="1:18" x14ac:dyDescent="0.2">
      <c r="A110" s="122">
        <f>'Levy Rate'!A110:A110</f>
        <v>291</v>
      </c>
      <c r="B110" s="123" t="str">
        <f>'Levy Rate'!B110:B110</f>
        <v>Salmon</v>
      </c>
      <c r="C110" s="63">
        <f>'Levy Rate'!C110</f>
        <v>1271045770</v>
      </c>
      <c r="D110" s="63">
        <f>'Levy Rate'!D110</f>
        <v>0</v>
      </c>
      <c r="E110" s="64">
        <f>ROUND($C110*'Levy Rate'!E110,0)</f>
        <v>0</v>
      </c>
      <c r="F110" s="63">
        <f>ROUND($C110*'Levy Rate'!F110,0)</f>
        <v>540000</v>
      </c>
      <c r="G110" s="63">
        <f>ROUND($C110*'Levy Rate'!G110,0)</f>
        <v>0</v>
      </c>
      <c r="H110" s="63">
        <f>ROUND($C110*'Levy Rate'!H110,0)</f>
        <v>36844</v>
      </c>
      <c r="I110" s="63">
        <f>ROUND($C110*'Levy Rate'!I110,0)</f>
        <v>0</v>
      </c>
      <c r="J110" s="6" t="str">
        <f>IF('Levy Rate'!J110="","",'Levy Rate'!J110)</f>
        <v/>
      </c>
      <c r="K110" s="66">
        <f>SUM(E110:I110)</f>
        <v>576844</v>
      </c>
      <c r="L110" s="63">
        <f>ROUND($C110*'Levy Rate'!L110,0)</f>
        <v>1385825</v>
      </c>
      <c r="M110" s="63"/>
      <c r="N110" s="124">
        <f>SUM(K110:M110)</f>
        <v>1962669</v>
      </c>
      <c r="O110" s="45"/>
      <c r="P110" s="126">
        <v>339175</v>
      </c>
      <c r="Q110" s="66"/>
      <c r="R110" s="124"/>
    </row>
    <row r="111" spans="1:18" x14ac:dyDescent="0.2">
      <c r="A111" s="61">
        <f>'Levy Rate'!A111</f>
        <v>292</v>
      </c>
      <c r="B111" s="62" t="str">
        <f>'Levy Rate'!B111</f>
        <v>South Lemhi</v>
      </c>
      <c r="C111" s="63">
        <f>'Levy Rate'!C111</f>
        <v>148869148</v>
      </c>
      <c r="D111" s="63">
        <f>'Levy Rate'!D111</f>
        <v>0</v>
      </c>
      <c r="E111" s="64">
        <f>ROUND($C111*'Levy Rate'!E111,0)</f>
        <v>0</v>
      </c>
      <c r="F111" s="63">
        <f>ROUND($C111*'Levy Rate'!F111,0)</f>
        <v>0</v>
      </c>
      <c r="G111" s="63">
        <f>ROUND($C111*'Levy Rate'!G111,0)</f>
        <v>0</v>
      </c>
      <c r="H111" s="63">
        <f>ROUND($C111*'Levy Rate'!H111,0)</f>
        <v>14871</v>
      </c>
      <c r="I111" s="63">
        <f>ROUND($C111*'Levy Rate'!I111,0)</f>
        <v>0</v>
      </c>
      <c r="J111" s="6" t="str">
        <f>IF('Levy Rate'!J111="","",'Levy Rate'!J111)</f>
        <v/>
      </c>
      <c r="K111" s="63">
        <f t="shared" si="4"/>
        <v>14871</v>
      </c>
      <c r="L111" s="63">
        <f>ROUND($C111*'Levy Rate'!L111,0)</f>
        <v>0</v>
      </c>
      <c r="M111" s="63">
        <f>ROUND($C111*'Levy Rate'!M111,0)</f>
        <v>0</v>
      </c>
      <c r="N111" s="116">
        <f t="shared" si="5"/>
        <v>14871</v>
      </c>
      <c r="O111" s="45"/>
      <c r="P111" s="118"/>
      <c r="Q111" s="63"/>
      <c r="R111" s="116">
        <v>20000</v>
      </c>
    </row>
    <row r="112" spans="1:18" x14ac:dyDescent="0.2">
      <c r="A112" s="61">
        <v>302</v>
      </c>
      <c r="B112" s="62" t="str">
        <f>'Levy Rate'!B112</f>
        <v>Nezperce Joint</v>
      </c>
      <c r="C112" s="63">
        <f>'Levy Rate'!C112</f>
        <v>177265875</v>
      </c>
      <c r="D112" s="63">
        <f>'Levy Rate'!D112</f>
        <v>0</v>
      </c>
      <c r="E112" s="64">
        <f>ROUND($C112*'Levy Rate'!E112,0)</f>
        <v>0</v>
      </c>
      <c r="F112" s="63">
        <f>ROUND($C112*'Levy Rate'!F112,0)</f>
        <v>355074</v>
      </c>
      <c r="G112" s="63">
        <f>ROUND($C112*'Levy Rate'!G112,0)</f>
        <v>0</v>
      </c>
      <c r="H112" s="63">
        <f>ROUND($C112*'Levy Rate'!H112,0)</f>
        <v>1706</v>
      </c>
      <c r="I112" s="63">
        <f>ROUND($C112*'Levy Rate'!I112,0)</f>
        <v>247</v>
      </c>
      <c r="J112" s="6" t="str">
        <f>IF('Levy Rate'!J112="","",'Levy Rate'!J112)</f>
        <v>j</v>
      </c>
      <c r="K112" s="63">
        <f t="shared" si="4"/>
        <v>357027</v>
      </c>
      <c r="L112" s="63">
        <f>ROUND($C112*'Levy Rate'!L112,0)</f>
        <v>0</v>
      </c>
      <c r="M112" s="63">
        <f>ROUND($C112*'Levy Rate'!M112,0)</f>
        <v>0</v>
      </c>
      <c r="N112" s="116">
        <f t="shared" si="5"/>
        <v>357027</v>
      </c>
      <c r="O112" s="45"/>
      <c r="P112" s="118"/>
      <c r="Q112" s="63">
        <v>89926</v>
      </c>
      <c r="R112" s="116"/>
    </row>
    <row r="113" spans="1:18" x14ac:dyDescent="0.2">
      <c r="A113" s="61">
        <f>'Levy Rate'!A113</f>
        <v>304</v>
      </c>
      <c r="B113" s="62" t="str">
        <f>'Levy Rate'!B113</f>
        <v>Kamiah Joint</v>
      </c>
      <c r="C113" s="63">
        <f>'Levy Rate'!C113</f>
        <v>409635569</v>
      </c>
      <c r="D113" s="63">
        <f>'Levy Rate'!D113</f>
        <v>0</v>
      </c>
      <c r="E113" s="64">
        <f>ROUND($C113*'Levy Rate'!E113,0)</f>
        <v>0</v>
      </c>
      <c r="F113" s="63">
        <f>ROUND($C113*'Levy Rate'!F113,0)</f>
        <v>0</v>
      </c>
      <c r="G113" s="63">
        <f>ROUND($C113*'Levy Rate'!G113,0)</f>
        <v>0</v>
      </c>
      <c r="H113" s="63">
        <f>ROUND($C113*'Levy Rate'!H113,0)</f>
        <v>6890</v>
      </c>
      <c r="I113" s="63">
        <f>ROUND($C113*'Levy Rate'!I113,0)</f>
        <v>0</v>
      </c>
      <c r="J113" s="6" t="str">
        <f>IF('Levy Rate'!J113="","",'Levy Rate'!J113)</f>
        <v/>
      </c>
      <c r="K113" s="63">
        <f t="shared" si="4"/>
        <v>6890</v>
      </c>
      <c r="L113" s="63">
        <f>ROUND($C113*'Levy Rate'!L113,0)</f>
        <v>0</v>
      </c>
      <c r="M113" s="63">
        <f>ROUND($C113*'Levy Rate'!M113,0)</f>
        <v>0</v>
      </c>
      <c r="N113" s="116">
        <f t="shared" si="5"/>
        <v>6890</v>
      </c>
      <c r="O113" s="45"/>
      <c r="P113" s="118"/>
      <c r="Q113" s="63"/>
      <c r="R113" s="116"/>
    </row>
    <row r="114" spans="1:18" x14ac:dyDescent="0.2">
      <c r="A114" s="61">
        <f>'Levy Rate'!A114</f>
        <v>305</v>
      </c>
      <c r="B114" s="62" t="str">
        <f>'Levy Rate'!B114</f>
        <v>Highland Joint</v>
      </c>
      <c r="C114" s="63">
        <f>'Levy Rate'!C114</f>
        <v>226968283</v>
      </c>
      <c r="D114" s="63">
        <f>'Levy Rate'!D114</f>
        <v>0</v>
      </c>
      <c r="E114" s="64">
        <f>ROUND($C114*'Levy Rate'!E114,0)</f>
        <v>0</v>
      </c>
      <c r="F114" s="63">
        <f>ROUND($C114*'Levy Rate'!F114,0)</f>
        <v>407111</v>
      </c>
      <c r="G114" s="63">
        <f>ROUND($C114*'Levy Rate'!G114,0)</f>
        <v>0</v>
      </c>
      <c r="H114" s="63">
        <f>ROUND($C114*'Levy Rate'!H114,0)</f>
        <v>3705</v>
      </c>
      <c r="I114" s="63">
        <f>ROUND($C114*'Levy Rate'!I114,0)</f>
        <v>323</v>
      </c>
      <c r="J114" s="6" t="str">
        <f>IF('Levy Rate'!J114="","",'Levy Rate'!J114)</f>
        <v>j</v>
      </c>
      <c r="K114" s="63">
        <f t="shared" si="4"/>
        <v>411139</v>
      </c>
      <c r="L114" s="63">
        <f>ROUND($C114*'Levy Rate'!L114,0)</f>
        <v>0</v>
      </c>
      <c r="M114" s="63">
        <f>ROUND($C114*'Levy Rate'!M114,0)</f>
        <v>50000</v>
      </c>
      <c r="N114" s="116">
        <f t="shared" si="5"/>
        <v>461139</v>
      </c>
      <c r="O114" s="45"/>
      <c r="P114" s="118"/>
      <c r="Q114" s="63">
        <v>91889</v>
      </c>
      <c r="R114" s="116"/>
    </row>
    <row r="115" spans="1:18" x14ac:dyDescent="0.2">
      <c r="A115" s="61">
        <f>'Levy Rate'!A115</f>
        <v>312</v>
      </c>
      <c r="B115" s="62" t="str">
        <f>'Levy Rate'!B115</f>
        <v>Shoshone Joint</v>
      </c>
      <c r="C115" s="63">
        <f>'Levy Rate'!C115</f>
        <v>404945154</v>
      </c>
      <c r="D115" s="63">
        <f>'Levy Rate'!D115</f>
        <v>0</v>
      </c>
      <c r="E115" s="64">
        <f>ROUND($C115*'Levy Rate'!E115,0)</f>
        <v>0</v>
      </c>
      <c r="F115" s="63">
        <f>ROUND($C115*'Levy Rate'!F115,0)</f>
        <v>32743</v>
      </c>
      <c r="G115" s="63">
        <f>ROUND($C115*'Levy Rate'!G115,0)</f>
        <v>0</v>
      </c>
      <c r="H115" s="63">
        <f>ROUND($C115*'Levy Rate'!H115,0)</f>
        <v>3614</v>
      </c>
      <c r="I115" s="63">
        <f>ROUND($C115*'Levy Rate'!I115,0)</f>
        <v>0</v>
      </c>
      <c r="J115" s="6" t="str">
        <f>IF('Levy Rate'!J115="","",'Levy Rate'!J115)</f>
        <v/>
      </c>
      <c r="K115" s="63">
        <f t="shared" si="4"/>
        <v>36357</v>
      </c>
      <c r="L115" s="63">
        <f>ROUND($C115*'Levy Rate'!L115,0)</f>
        <v>0</v>
      </c>
      <c r="M115" s="63">
        <f>ROUND($C115*'Levy Rate'!M115,0)</f>
        <v>0</v>
      </c>
      <c r="N115" s="116">
        <f t="shared" si="5"/>
        <v>36357</v>
      </c>
      <c r="O115" s="45"/>
      <c r="P115" s="118"/>
      <c r="Q115" s="63">
        <v>267257</v>
      </c>
      <c r="R115" s="116"/>
    </row>
    <row r="116" spans="1:18" x14ac:dyDescent="0.2">
      <c r="A116" s="61">
        <f>'Levy Rate'!A116</f>
        <v>314</v>
      </c>
      <c r="B116" s="62" t="str">
        <f>'Levy Rate'!B116</f>
        <v>Dietrich</v>
      </c>
      <c r="C116" s="63">
        <f>'Levy Rate'!C116</f>
        <v>113022565</v>
      </c>
      <c r="D116" s="63">
        <f>'Levy Rate'!D116</f>
        <v>0</v>
      </c>
      <c r="E116" s="64">
        <f>ROUND($C116*'Levy Rate'!E116,0)</f>
        <v>0</v>
      </c>
      <c r="F116" s="63">
        <f>ROUND($C116*'Levy Rate'!F116,0)</f>
        <v>0</v>
      </c>
      <c r="G116" s="63">
        <f>ROUND($C116*'Levy Rate'!G116,0)</f>
        <v>0</v>
      </c>
      <c r="H116" s="63">
        <f>ROUND($C116*'Levy Rate'!H116,0)</f>
        <v>0</v>
      </c>
      <c r="I116" s="63">
        <f>ROUND($C116*'Levy Rate'!I116,0)</f>
        <v>1476</v>
      </c>
      <c r="J116" s="6" t="str">
        <f>IF('Levy Rate'!J116="","",'Levy Rate'!J116)</f>
        <v>j</v>
      </c>
      <c r="K116" s="63">
        <f t="shared" si="4"/>
        <v>1476</v>
      </c>
      <c r="L116" s="63">
        <f>ROUND($C116*'Levy Rate'!L116,0)</f>
        <v>40165</v>
      </c>
      <c r="M116" s="63">
        <f>ROUND($C116*'Levy Rate'!M116,0)</f>
        <v>0</v>
      </c>
      <c r="N116" s="116">
        <f t="shared" si="5"/>
        <v>41641</v>
      </c>
      <c r="O116" s="45"/>
      <c r="P116" s="118">
        <v>98471</v>
      </c>
      <c r="Q116" s="63"/>
      <c r="R116" s="116"/>
    </row>
    <row r="117" spans="1:18" x14ac:dyDescent="0.2">
      <c r="A117" s="61">
        <f>'Levy Rate'!A117</f>
        <v>316</v>
      </c>
      <c r="B117" s="62" t="str">
        <f>'Levy Rate'!B117</f>
        <v>Richfield</v>
      </c>
      <c r="C117" s="63">
        <f>'Levy Rate'!C117</f>
        <v>133689799</v>
      </c>
      <c r="D117" s="63">
        <f>'Levy Rate'!D117</f>
        <v>0</v>
      </c>
      <c r="E117" s="64">
        <f>ROUND($C117*'Levy Rate'!E117,0)</f>
        <v>0</v>
      </c>
      <c r="F117" s="63">
        <f>ROUND($C117*'Levy Rate'!F117,0)</f>
        <v>180000</v>
      </c>
      <c r="G117" s="63">
        <f>ROUND($C117*'Levy Rate'!G117,0)</f>
        <v>0</v>
      </c>
      <c r="H117" s="63">
        <f>ROUND($C117*'Levy Rate'!H117,0)</f>
        <v>6960</v>
      </c>
      <c r="I117" s="63">
        <f>ROUND($C117*'Levy Rate'!I117,0)</f>
        <v>0</v>
      </c>
      <c r="J117" s="6" t="str">
        <f>IF('Levy Rate'!J117="","",'Levy Rate'!J117)</f>
        <v/>
      </c>
      <c r="K117" s="63">
        <f t="shared" si="4"/>
        <v>186960</v>
      </c>
      <c r="L117" s="63">
        <f>ROUND($C117*'Levy Rate'!L117,0)</f>
        <v>0</v>
      </c>
      <c r="M117" s="63">
        <f>ROUND($C117*'Levy Rate'!M117,0)</f>
        <v>0</v>
      </c>
      <c r="N117" s="116">
        <f t="shared" si="5"/>
        <v>186960</v>
      </c>
      <c r="O117" s="45"/>
      <c r="P117" s="118">
        <v>110223</v>
      </c>
      <c r="Q117" s="63"/>
      <c r="R117" s="116"/>
    </row>
    <row r="118" spans="1:18" x14ac:dyDescent="0.2">
      <c r="A118" s="193">
        <f>'Levy Rate'!A118:A119</f>
        <v>321</v>
      </c>
      <c r="B118" s="195" t="str">
        <f>'Levy Rate'!B118:B119</f>
        <v>Madison</v>
      </c>
      <c r="C118" s="48">
        <f>'Levy Rate'!C118</f>
        <v>3291233402</v>
      </c>
      <c r="D118" s="48">
        <f>'Levy Rate'!D118</f>
        <v>0</v>
      </c>
      <c r="E118" s="57">
        <f>ROUND($C118*'Levy Rate'!E118,0)</f>
        <v>0</v>
      </c>
      <c r="F118" s="48">
        <f>ROUND($C118*'Levy Rate'!F118,0)</f>
        <v>0</v>
      </c>
      <c r="G118" s="48">
        <f>ROUND($C118*'Levy Rate'!G118,0)</f>
        <v>0</v>
      </c>
      <c r="H118" s="48">
        <f>ROUND($C118*'Levy Rate'!H118,0)-1</f>
        <v>146890</v>
      </c>
      <c r="I118" s="48">
        <f>ROUND($C118*'Levy Rate'!I118,0)</f>
        <v>0</v>
      </c>
      <c r="J118" s="49" t="str">
        <f>IF('Levy Rate'!J118="","",'Levy Rate'!J118)</f>
        <v/>
      </c>
      <c r="K118" s="200">
        <f>SUM(E118:I120)</f>
        <v>2141890</v>
      </c>
      <c r="L118" s="48">
        <f>ROUND($C118*'Levy Rate'!L118,0)</f>
        <v>0</v>
      </c>
      <c r="M118" s="48">
        <f>ROUND($C118*'Levy Rate'!M118,0)</f>
        <v>0</v>
      </c>
      <c r="N118" s="197">
        <f>SUM(K118:M120)</f>
        <v>6641890</v>
      </c>
      <c r="O118" s="45"/>
      <c r="P118" s="255">
        <v>2910938</v>
      </c>
      <c r="Q118" s="257"/>
      <c r="R118" s="256"/>
    </row>
    <row r="119" spans="1:18" x14ac:dyDescent="0.2">
      <c r="A119" s="214"/>
      <c r="B119" s="212"/>
      <c r="C119" s="16">
        <f>'Levy Rate'!C119</f>
        <v>0</v>
      </c>
      <c r="D119" s="16">
        <f>'Levy Rate'!D119</f>
        <v>3587980270</v>
      </c>
      <c r="E119" s="53">
        <f>ROUND($D119*'Levy Rate'!E119,0)</f>
        <v>0</v>
      </c>
      <c r="F119" s="16">
        <f>ROUND($D119*'Levy Rate'!F119,0)</f>
        <v>1995000</v>
      </c>
      <c r="G119" s="16">
        <f>ROUND($D119*'Levy Rate'!G119,0)</f>
        <v>0</v>
      </c>
      <c r="H119" s="16">
        <f>ROUND($D119*'Levy Rate'!H119,0)</f>
        <v>0</v>
      </c>
      <c r="I119" s="16">
        <f>ROUND($D119*'Levy Rate'!I119,0)</f>
        <v>0</v>
      </c>
      <c r="J119" s="46" t="str">
        <f>IF('Levy Rate'!J119="","",'Levy Rate'!J119)</f>
        <v/>
      </c>
      <c r="K119" s="201"/>
      <c r="L119" s="16">
        <f>ROUND($D119*'Levy Rate'!L119,0)+1</f>
        <v>4022188</v>
      </c>
      <c r="M119" s="16">
        <f>ROUND($D119*'Levy Rate'!M119,0)</f>
        <v>0</v>
      </c>
      <c r="N119" s="198"/>
      <c r="O119" s="45"/>
      <c r="P119" s="255"/>
      <c r="Q119" s="257"/>
      <c r="R119" s="256"/>
    </row>
    <row r="120" spans="1:18" x14ac:dyDescent="0.2">
      <c r="A120" s="202"/>
      <c r="B120" s="213"/>
      <c r="C120" s="50"/>
      <c r="D120" s="50">
        <f>'Levy Rate'!D120</f>
        <v>3441287582</v>
      </c>
      <c r="E120" s="54"/>
      <c r="F120" s="50"/>
      <c r="G120" s="50"/>
      <c r="H120" s="50"/>
      <c r="I120" s="50"/>
      <c r="J120" s="51"/>
      <c r="K120" s="210"/>
      <c r="L120" s="50">
        <f>ROUND($D120*'Levy Rate'!L120,0)</f>
        <v>477812</v>
      </c>
      <c r="M120" s="50"/>
      <c r="N120" s="211"/>
      <c r="O120" s="45"/>
      <c r="P120" s="255"/>
      <c r="Q120" s="257"/>
      <c r="R120" s="256"/>
    </row>
    <row r="121" spans="1:18" x14ac:dyDescent="0.2">
      <c r="A121" s="193">
        <v>322</v>
      </c>
      <c r="B121" s="195" t="str">
        <f>'Levy Rate'!B121</f>
        <v>Sugar-Salem Joint</v>
      </c>
      <c r="C121" s="48">
        <f>'Levy Rate'!C121</f>
        <v>665727900</v>
      </c>
      <c r="D121" s="48">
        <f>'Levy Rate'!D121</f>
        <v>0</v>
      </c>
      <c r="E121" s="57">
        <f>ROUND($C121*'Levy Rate'!E121,0)</f>
        <v>0</v>
      </c>
      <c r="F121" s="48">
        <f>ROUND($C121*'Levy Rate'!F121,0)</f>
        <v>0</v>
      </c>
      <c r="G121" s="48">
        <f>ROUND($C121*'Levy Rate'!G121,0)</f>
        <v>0</v>
      </c>
      <c r="H121" s="48">
        <f>ROUND($C121*'Levy Rate'!H121,0)</f>
        <v>22404</v>
      </c>
      <c r="I121" s="48">
        <f>ROUND($C121*'Levy Rate'!I121,0)</f>
        <v>0</v>
      </c>
      <c r="J121" s="49" t="str">
        <f>IF('Levy Rate'!J121="","",'Levy Rate'!J121)</f>
        <v/>
      </c>
      <c r="K121" s="216">
        <f>SUM(E121:I122)</f>
        <v>22404</v>
      </c>
      <c r="L121" s="48">
        <f>ROUND($C121*'Levy Rate'!L121,0)</f>
        <v>0</v>
      </c>
      <c r="M121" s="48">
        <f>ROUND($C121*'Levy Rate'!M121,0)</f>
        <v>0</v>
      </c>
      <c r="N121" s="218">
        <f>SUM(K121:M122)</f>
        <v>22404</v>
      </c>
      <c r="O121" s="45"/>
      <c r="P121" s="258">
        <v>280938</v>
      </c>
      <c r="Q121" s="264">
        <v>450000</v>
      </c>
      <c r="R121" s="260"/>
    </row>
    <row r="122" spans="1:18" x14ac:dyDescent="0.2">
      <c r="A122" s="202"/>
      <c r="B122" s="213"/>
      <c r="C122" s="50"/>
      <c r="D122" s="50">
        <f>'Levy Rate'!D122</f>
        <v>691942803</v>
      </c>
      <c r="E122" s="54"/>
      <c r="F122" s="50">
        <f>ROUND($D122*'Levy Rate'!F122,0)</f>
        <v>0</v>
      </c>
      <c r="G122" s="50"/>
      <c r="H122" s="50">
        <f>ROUND($C122*'Levy Rate'!H122,0)</f>
        <v>0</v>
      </c>
      <c r="I122" s="50"/>
      <c r="J122" s="51"/>
      <c r="K122" s="213"/>
      <c r="L122" s="50">
        <f>ROUND($D122*'Levy Rate'!L122,0)</f>
        <v>0</v>
      </c>
      <c r="M122" s="50"/>
      <c r="N122" s="219"/>
      <c r="O122" s="45"/>
      <c r="P122" s="259"/>
      <c r="Q122" s="265"/>
      <c r="R122" s="261"/>
    </row>
    <row r="123" spans="1:18" x14ac:dyDescent="0.2">
      <c r="A123" s="193">
        <f>'Levy Rate'!A123:A124</f>
        <v>331</v>
      </c>
      <c r="B123" s="195" t="str">
        <f>'Levy Rate'!B123:B124</f>
        <v>Minidoka County Jt</v>
      </c>
      <c r="C123" s="48">
        <f>'Levy Rate'!C123</f>
        <v>2982134627</v>
      </c>
      <c r="D123" s="48">
        <f>'Levy Rate'!D123</f>
        <v>0</v>
      </c>
      <c r="E123" s="57">
        <f>ROUND($C123*'Levy Rate'!E123,0)</f>
        <v>0</v>
      </c>
      <c r="F123" s="48">
        <f>ROUND($C123*'Levy Rate'!F123,0)</f>
        <v>0</v>
      </c>
      <c r="G123" s="48">
        <f>ROUND($C123*'Levy Rate'!G123,0)</f>
        <v>0</v>
      </c>
      <c r="H123" s="48">
        <f>ROUND($C123*'Levy Rate'!H123,0)</f>
        <v>15263</v>
      </c>
      <c r="I123" s="48">
        <f>ROUND($C123*'Levy Rate'!I123,0)</f>
        <v>0</v>
      </c>
      <c r="J123" s="49" t="str">
        <f>IF('Levy Rate'!J123="","",'Levy Rate'!J123)</f>
        <v/>
      </c>
      <c r="K123" s="200">
        <f>SUM(E123:I124)</f>
        <v>2265263</v>
      </c>
      <c r="L123" s="48">
        <f>ROUND($C123*'Levy Rate'!L123,0)</f>
        <v>0</v>
      </c>
      <c r="M123" s="48">
        <f>ROUND($C123*'Levy Rate'!M123,0)</f>
        <v>0</v>
      </c>
      <c r="N123" s="197">
        <f>SUM(K123:M124)</f>
        <v>2613518</v>
      </c>
      <c r="O123" s="45"/>
      <c r="P123" s="255">
        <v>2259225</v>
      </c>
      <c r="Q123" s="257"/>
      <c r="R123" s="256"/>
    </row>
    <row r="124" spans="1:18" x14ac:dyDescent="0.2">
      <c r="A124" s="194"/>
      <c r="B124" s="196"/>
      <c r="C124" s="50">
        <f>'Levy Rate'!C124</f>
        <v>0</v>
      </c>
      <c r="D124" s="50">
        <f>'Levy Rate'!D124</f>
        <v>3021908917</v>
      </c>
      <c r="E124" s="54">
        <f>ROUND($D124*'Levy Rate'!E124,0)</f>
        <v>0</v>
      </c>
      <c r="F124" s="50">
        <f>ROUND($D124*'Levy Rate'!F124,0)+1</f>
        <v>2250000</v>
      </c>
      <c r="G124" s="50">
        <f>ROUND($D124*'Levy Rate'!G124,0)</f>
        <v>0</v>
      </c>
      <c r="H124" s="50">
        <f>ROUND($D124*'Levy Rate'!H124,0)</f>
        <v>0</v>
      </c>
      <c r="I124" s="50">
        <f>ROUND($D124*'Levy Rate'!I124,0)</f>
        <v>0</v>
      </c>
      <c r="J124" s="51" t="str">
        <f>IF('Levy Rate'!J124="","",'Levy Rate'!J124)</f>
        <v/>
      </c>
      <c r="K124" s="210"/>
      <c r="L124" s="50">
        <f>ROUND($D124*'Levy Rate'!L124,0)+1</f>
        <v>348255</v>
      </c>
      <c r="M124" s="50">
        <f>ROUND($D124*'Levy Rate'!M124,0)</f>
        <v>0</v>
      </c>
      <c r="N124" s="211"/>
      <c r="O124" s="45"/>
      <c r="P124" s="255"/>
      <c r="Q124" s="257"/>
      <c r="R124" s="256"/>
    </row>
    <row r="125" spans="1:18" x14ac:dyDescent="0.2">
      <c r="A125" s="193">
        <f>'Levy Rate'!A125:A126</f>
        <v>340</v>
      </c>
      <c r="B125" s="195" t="str">
        <f>'Levy Rate'!B125:B126</f>
        <v>Lewiston Independent</v>
      </c>
      <c r="C125" s="48">
        <f>'Levy Rate'!C125</f>
        <v>5149225003</v>
      </c>
      <c r="D125" s="48">
        <f>'Levy Rate'!D125</f>
        <v>0</v>
      </c>
      <c r="E125" s="57">
        <f>ROUND($C125*'Levy Rate'!E125,0)</f>
        <v>0</v>
      </c>
      <c r="F125" s="48">
        <f>ROUND($C125*'Levy Rate'!F125,0)-1</f>
        <v>4551914</v>
      </c>
      <c r="G125" s="48">
        <f>ROUND($C125*'Levy Rate'!G125,0)</f>
        <v>0</v>
      </c>
      <c r="H125" s="48">
        <f>ROUND($C125*'Levy Rate'!H125,0)</f>
        <v>0</v>
      </c>
      <c r="I125" s="48">
        <f>ROUND($C125*'Levy Rate'!I125,0)</f>
        <v>0</v>
      </c>
      <c r="J125" s="49" t="str">
        <f>IF('Levy Rate'!J125="","",'Levy Rate'!J125)</f>
        <v/>
      </c>
      <c r="K125" s="200">
        <f>SUM(E125:I126)</f>
        <v>23887492</v>
      </c>
      <c r="L125" s="48">
        <f>ROUND($C125*'Levy Rate'!L125,0)</f>
        <v>0</v>
      </c>
      <c r="M125" s="48">
        <f>ROUND($C125*'Levy Rate'!M125,0)</f>
        <v>0</v>
      </c>
      <c r="N125" s="197">
        <f>SUM(K125:M126)</f>
        <v>26819214</v>
      </c>
      <c r="O125" s="45"/>
      <c r="P125" s="255">
        <v>2372228</v>
      </c>
      <c r="Q125" s="257"/>
      <c r="R125" s="256"/>
    </row>
    <row r="126" spans="1:18" x14ac:dyDescent="0.2">
      <c r="A126" s="194"/>
      <c r="B126" s="196"/>
      <c r="C126" s="50">
        <f>'Levy Rate'!C126</f>
        <v>0</v>
      </c>
      <c r="D126" s="50">
        <f>'Levy Rate'!D126</f>
        <v>5296105704</v>
      </c>
      <c r="E126" s="54">
        <f>ROUND($D126*'Levy Rate'!E126,0)</f>
        <v>0</v>
      </c>
      <c r="F126" s="50">
        <f>ROUND($D126*'Levy Rate'!F126,0)-1</f>
        <v>19316655</v>
      </c>
      <c r="G126" s="50">
        <f>ROUND($D126*'Levy Rate'!G126,0)</f>
        <v>0</v>
      </c>
      <c r="H126" s="50">
        <f>ROUND($D126*'Levy Rate'!H126,0)</f>
        <v>0</v>
      </c>
      <c r="I126" s="50">
        <f>ROUND($D126*'Levy Rate'!I126,0)</f>
        <v>18923</v>
      </c>
      <c r="J126" s="51" t="str">
        <f>IF('Levy Rate'!J126="","",'Levy Rate'!J126)</f>
        <v>j</v>
      </c>
      <c r="K126" s="210"/>
      <c r="L126" s="50">
        <f>ROUND($D126*'Levy Rate'!L126,0)-1</f>
        <v>2931722</v>
      </c>
      <c r="M126" s="50">
        <f>ROUND($D126*'Levy Rate'!M126,0)</f>
        <v>0</v>
      </c>
      <c r="N126" s="211"/>
      <c r="O126" s="45"/>
      <c r="P126" s="255"/>
      <c r="Q126" s="257"/>
      <c r="R126" s="256"/>
    </row>
    <row r="127" spans="1:18" x14ac:dyDescent="0.2">
      <c r="A127" s="61">
        <f>'Levy Rate'!A127</f>
        <v>341</v>
      </c>
      <c r="B127" s="62" t="str">
        <f>'Levy Rate'!B127</f>
        <v>Lapwai</v>
      </c>
      <c r="C127" s="63">
        <f>'Levy Rate'!C127</f>
        <v>266268892</v>
      </c>
      <c r="D127" s="63">
        <f>'Levy Rate'!D127</f>
        <v>0</v>
      </c>
      <c r="E127" s="64">
        <f>ROUND($C127*'Levy Rate'!E127,0)</f>
        <v>0</v>
      </c>
      <c r="F127" s="63">
        <f>ROUND($C127*'Levy Rate'!F127,0)</f>
        <v>0</v>
      </c>
      <c r="G127" s="63">
        <f>ROUND($C127*'Levy Rate'!G127,0)</f>
        <v>0</v>
      </c>
      <c r="H127" s="63">
        <f>ROUND($C127*'Levy Rate'!H127,0)</f>
        <v>44072</v>
      </c>
      <c r="I127" s="63">
        <f>ROUND($C127*'Levy Rate'!I127,0)</f>
        <v>281</v>
      </c>
      <c r="J127" s="6" t="str">
        <f>IF('Levy Rate'!J127="","",'Levy Rate'!J127)</f>
        <v>j</v>
      </c>
      <c r="K127" s="63">
        <f t="shared" si="4"/>
        <v>44353</v>
      </c>
      <c r="L127" s="63">
        <f>ROUND($C127*'Levy Rate'!L127,0)</f>
        <v>0</v>
      </c>
      <c r="M127" s="63">
        <f>ROUND($C127*'Levy Rate'!M127,0)</f>
        <v>0</v>
      </c>
      <c r="N127" s="116">
        <f t="shared" si="5"/>
        <v>44353</v>
      </c>
      <c r="O127" s="45"/>
      <c r="P127" s="118">
        <v>161700</v>
      </c>
      <c r="Q127" s="63"/>
      <c r="R127" s="116"/>
    </row>
    <row r="128" spans="1:18" x14ac:dyDescent="0.2">
      <c r="A128" s="61">
        <f>'Levy Rate'!A128</f>
        <v>342</v>
      </c>
      <c r="B128" s="62" t="str">
        <f>'Levy Rate'!B128</f>
        <v>Culdesac Joint</v>
      </c>
      <c r="C128" s="63">
        <f>'Levy Rate'!C128</f>
        <v>92558686</v>
      </c>
      <c r="D128" s="63">
        <f>'Levy Rate'!D128</f>
        <v>0</v>
      </c>
      <c r="E128" s="64">
        <f>ROUND($C128*'Levy Rate'!E128,0)</f>
        <v>0</v>
      </c>
      <c r="F128" s="63">
        <f>ROUND($C128*'Levy Rate'!F128,0)</f>
        <v>194936</v>
      </c>
      <c r="G128" s="63">
        <f>ROUND($C128*'Levy Rate'!G128,0)</f>
        <v>0</v>
      </c>
      <c r="H128" s="63">
        <f>ROUND($C128*'Levy Rate'!H128,0)</f>
        <v>4404</v>
      </c>
      <c r="I128" s="63">
        <f>ROUND($C128*'Levy Rate'!I128,0)</f>
        <v>115</v>
      </c>
      <c r="J128" s="6" t="str">
        <f>IF('Levy Rate'!J128="","",'Levy Rate'!J128)</f>
        <v>j</v>
      </c>
      <c r="K128" s="63">
        <f t="shared" si="4"/>
        <v>199455</v>
      </c>
      <c r="L128" s="63">
        <f>ROUND($C128*'Levy Rate'!L128,0)</f>
        <v>0</v>
      </c>
      <c r="M128" s="63">
        <f>ROUND($C128*'Levy Rate'!M128,0)</f>
        <v>0</v>
      </c>
      <c r="N128" s="116">
        <f t="shared" si="5"/>
        <v>199455</v>
      </c>
      <c r="O128" s="45"/>
      <c r="P128" s="118"/>
      <c r="Q128" s="63">
        <v>55064</v>
      </c>
      <c r="R128" s="116"/>
    </row>
    <row r="129" spans="1:18" x14ac:dyDescent="0.2">
      <c r="A129" s="61">
        <f>'Levy Rate'!A129</f>
        <v>351</v>
      </c>
      <c r="B129" s="62" t="str">
        <f>'Levy Rate'!B129</f>
        <v>Oneida County</v>
      </c>
      <c r="C129" s="63">
        <f>'Levy Rate'!C129</f>
        <v>530153336</v>
      </c>
      <c r="D129" s="63">
        <f>'Levy Rate'!D129</f>
        <v>0</v>
      </c>
      <c r="E129" s="64">
        <f>ROUND($C129*'Levy Rate'!E129,0)</f>
        <v>0</v>
      </c>
      <c r="F129" s="63">
        <f>ROUND($C129*'Levy Rate'!F129,0)</f>
        <v>0</v>
      </c>
      <c r="G129" s="63">
        <f>ROUND($C129*'Levy Rate'!G129,0)</f>
        <v>0</v>
      </c>
      <c r="H129" s="63">
        <f>ROUND($C129*'Levy Rate'!H129,0)</f>
        <v>0</v>
      </c>
      <c r="I129" s="63">
        <f>ROUND($C129*'Levy Rate'!I129,0)</f>
        <v>0</v>
      </c>
      <c r="J129" s="6" t="str">
        <f>IF('Levy Rate'!J129="","",'Levy Rate'!J129)</f>
        <v/>
      </c>
      <c r="K129" s="63">
        <f t="shared" si="4"/>
        <v>0</v>
      </c>
      <c r="L129" s="63">
        <f>ROUND($C129*'Levy Rate'!L129,0)</f>
        <v>0</v>
      </c>
      <c r="M129" s="63">
        <f>ROUND($C129*'Levy Rate'!M129,0)</f>
        <v>120000</v>
      </c>
      <c r="N129" s="116">
        <f t="shared" si="5"/>
        <v>120000</v>
      </c>
      <c r="O129" s="45"/>
      <c r="P129" s="118">
        <v>486071</v>
      </c>
      <c r="Q129" s="63"/>
      <c r="R129" s="116"/>
    </row>
    <row r="130" spans="1:18" x14ac:dyDescent="0.2">
      <c r="A130" s="61">
        <f>'Levy Rate'!A130</f>
        <v>363</v>
      </c>
      <c r="B130" s="62" t="str">
        <f>'Levy Rate'!B130</f>
        <v>Marsing Joint</v>
      </c>
      <c r="C130" s="63">
        <f>'Levy Rate'!C130</f>
        <v>663099005</v>
      </c>
      <c r="D130" s="63">
        <f>'Levy Rate'!D130</f>
        <v>0</v>
      </c>
      <c r="E130" s="64">
        <f>ROUND($C130*'Levy Rate'!E130,0)</f>
        <v>0</v>
      </c>
      <c r="F130" s="63">
        <f>ROUND($C130*'Levy Rate'!F130,0)</f>
        <v>0</v>
      </c>
      <c r="G130" s="63">
        <f>ROUND($C130*'Levy Rate'!G130,0)</f>
        <v>0</v>
      </c>
      <c r="H130" s="63">
        <f>ROUND($C130*'Levy Rate'!H130,0)</f>
        <v>36122</v>
      </c>
      <c r="I130" s="63">
        <f>ROUND($C130*'Levy Rate'!I130,0)</f>
        <v>650000</v>
      </c>
      <c r="J130" s="6" t="str">
        <f>IF('Levy Rate'!J130="","",'Levy Rate'!J130)</f>
        <v>c</v>
      </c>
      <c r="K130" s="63">
        <f t="shared" si="4"/>
        <v>686122</v>
      </c>
      <c r="L130" s="63">
        <f>ROUND($C130*'Levy Rate'!L130,0)</f>
        <v>850000</v>
      </c>
      <c r="M130" s="63">
        <f>ROUND($C130*'Levy Rate'!M130,0)</f>
        <v>0</v>
      </c>
      <c r="N130" s="116">
        <f t="shared" si="5"/>
        <v>1536122</v>
      </c>
      <c r="O130" s="45"/>
      <c r="P130" s="118">
        <v>425450</v>
      </c>
      <c r="Q130" s="63"/>
      <c r="R130" s="116"/>
    </row>
    <row r="131" spans="1:18" x14ac:dyDescent="0.2">
      <c r="A131" s="61">
        <f>'Levy Rate'!A131</f>
        <v>364</v>
      </c>
      <c r="B131" s="62" t="str">
        <f>'Levy Rate'!B131</f>
        <v>Pleasant Valley Elem</v>
      </c>
      <c r="C131" s="63">
        <f>'Levy Rate'!C131</f>
        <v>35962891</v>
      </c>
      <c r="D131" s="63">
        <f>'Levy Rate'!D131</f>
        <v>0</v>
      </c>
      <c r="E131" s="64">
        <f>ROUND($C131*'Levy Rate'!E131,0)</f>
        <v>0</v>
      </c>
      <c r="F131" s="63">
        <f>ROUND($C131*'Levy Rate'!F131,0)</f>
        <v>0</v>
      </c>
      <c r="G131" s="63">
        <f>ROUND($C131*'Levy Rate'!G131,0)</f>
        <v>0</v>
      </c>
      <c r="H131" s="63">
        <f>ROUND($C131*'Levy Rate'!H131,0)</f>
        <v>12159</v>
      </c>
      <c r="I131" s="63">
        <f>ROUND($C131*'Levy Rate'!I131,0)</f>
        <v>0</v>
      </c>
      <c r="J131" s="6" t="str">
        <f>IF('Levy Rate'!J131="","",'Levy Rate'!J131)</f>
        <v/>
      </c>
      <c r="K131" s="63">
        <f t="shared" si="4"/>
        <v>12159</v>
      </c>
      <c r="L131" s="63">
        <f>ROUND($C131*'Levy Rate'!L131,0)</f>
        <v>0</v>
      </c>
      <c r="M131" s="63">
        <f>ROUND($C131*'Levy Rate'!M131,0)</f>
        <v>0</v>
      </c>
      <c r="N131" s="116">
        <f t="shared" si="5"/>
        <v>12159</v>
      </c>
      <c r="O131" s="45"/>
      <c r="P131" s="118"/>
      <c r="Q131" s="63"/>
      <c r="R131" s="116"/>
    </row>
    <row r="132" spans="1:18" x14ac:dyDescent="0.2">
      <c r="A132" s="61">
        <f>'Levy Rate'!A132</f>
        <v>365</v>
      </c>
      <c r="B132" s="62" t="str">
        <f>'Levy Rate'!B132</f>
        <v>Bruneau-Grand View Jt</v>
      </c>
      <c r="C132" s="63">
        <f>'Levy Rate'!C132</f>
        <v>352030298</v>
      </c>
      <c r="D132" s="63">
        <f>'Levy Rate'!D132</f>
        <v>0</v>
      </c>
      <c r="E132" s="64">
        <f>ROUND($C132*'Levy Rate'!E132,0)</f>
        <v>0</v>
      </c>
      <c r="F132" s="63">
        <f>ROUND($C132*'Levy Rate'!F132,0)</f>
        <v>650000</v>
      </c>
      <c r="G132" s="63">
        <f>ROUND($C132*'Levy Rate'!G132,0)</f>
        <v>0</v>
      </c>
      <c r="H132" s="63">
        <f>ROUND($C132*'Levy Rate'!H132,0)</f>
        <v>106172</v>
      </c>
      <c r="I132" s="63">
        <f>ROUND($C132*'Levy Rate'!I132,0)</f>
        <v>0</v>
      </c>
      <c r="J132" s="6" t="str">
        <f>IF('Levy Rate'!J132="","",'Levy Rate'!J132)</f>
        <v/>
      </c>
      <c r="K132" s="63">
        <f t="shared" si="4"/>
        <v>756172</v>
      </c>
      <c r="L132" s="63">
        <f>ROUND($C132*'Levy Rate'!L132,0)</f>
        <v>188863</v>
      </c>
      <c r="M132" s="63">
        <f>ROUND($C132*'Levy Rate'!M132,0)</f>
        <v>0</v>
      </c>
      <c r="N132" s="116">
        <f t="shared" si="5"/>
        <v>945035</v>
      </c>
      <c r="O132" s="45"/>
      <c r="P132" s="118">
        <v>139015</v>
      </c>
      <c r="Q132" s="63"/>
      <c r="R132" s="116"/>
    </row>
    <row r="133" spans="1:18" x14ac:dyDescent="0.2">
      <c r="A133" s="61">
        <f>'Levy Rate'!A133</f>
        <v>370</v>
      </c>
      <c r="B133" s="62" t="str">
        <f>'Levy Rate'!B133</f>
        <v>Homedale Joint</v>
      </c>
      <c r="C133" s="63">
        <f>'Levy Rate'!C133</f>
        <v>805006867</v>
      </c>
      <c r="D133" s="63">
        <f>'Levy Rate'!D133</f>
        <v>0</v>
      </c>
      <c r="E133" s="64">
        <f>ROUND($C133*'Levy Rate'!E133,0)</f>
        <v>0</v>
      </c>
      <c r="F133" s="63">
        <f>ROUND($C133*'Levy Rate'!F133,0)</f>
        <v>0</v>
      </c>
      <c r="G133" s="63">
        <f>ROUND($C133*'Levy Rate'!G133,0)</f>
        <v>0</v>
      </c>
      <c r="H133" s="63">
        <f>ROUND($C133*'Levy Rate'!H133,0)</f>
        <v>6724</v>
      </c>
      <c r="I133" s="63">
        <f>ROUND($C133*'Levy Rate'!I133,0)</f>
        <v>584650</v>
      </c>
      <c r="J133" s="6" t="str">
        <f>IF('Levy Rate'!J133="","",'Levy Rate'!J133)</f>
        <v>c</v>
      </c>
      <c r="K133" s="63">
        <f t="shared" si="4"/>
        <v>591374</v>
      </c>
      <c r="L133" s="63">
        <f>ROUND($C133*'Levy Rate'!L133,0)</f>
        <v>0</v>
      </c>
      <c r="M133" s="63">
        <f>ROUND($C133*'Levy Rate'!M133,0)</f>
        <v>1359947</v>
      </c>
      <c r="N133" s="116">
        <f t="shared" si="5"/>
        <v>1951321</v>
      </c>
      <c r="O133" s="45"/>
      <c r="P133" s="118">
        <v>536165</v>
      </c>
      <c r="Q133" s="63"/>
      <c r="R133" s="116">
        <v>140531</v>
      </c>
    </row>
    <row r="134" spans="1:18" x14ac:dyDescent="0.2">
      <c r="A134" s="193">
        <f>'Levy Rate'!A134:A134</f>
        <v>371</v>
      </c>
      <c r="B134" s="195" t="str">
        <f>'Levy Rate'!B134:B134</f>
        <v>Payette Joint</v>
      </c>
      <c r="C134" s="48">
        <f>'Levy Rate'!C134</f>
        <v>1188386764</v>
      </c>
      <c r="D134" s="48">
        <f>'Levy Rate'!D134</f>
        <v>0</v>
      </c>
      <c r="E134" s="57">
        <f>ROUND($C134*'Levy Rate'!E134,0)</f>
        <v>0</v>
      </c>
      <c r="F134" s="48">
        <f>ROUND($C134*'Levy Rate'!F134,0)</f>
        <v>0</v>
      </c>
      <c r="G134" s="48">
        <f>ROUND($C134*'Levy Rate'!G134,0)</f>
        <v>0</v>
      </c>
      <c r="H134" s="48">
        <f>ROUND($C134*'Levy Rate'!H134,0)</f>
        <v>1529</v>
      </c>
      <c r="I134" s="48">
        <f>ROUND($C134*'Levy Rate'!I134,0)</f>
        <v>0</v>
      </c>
      <c r="J134" s="49" t="str">
        <f>IF('Levy Rate'!J134="","",'Levy Rate'!J134)</f>
        <v/>
      </c>
      <c r="K134" s="200">
        <f>SUM(E134:I135)</f>
        <v>1529</v>
      </c>
      <c r="L134" s="48">
        <f>ROUND($C134*'Levy Rate'!L134,0)</f>
        <v>0</v>
      </c>
      <c r="M134" s="48">
        <f>ROUND($C134*'Levy Rate'!M134,0)</f>
        <v>0</v>
      </c>
      <c r="N134" s="197">
        <f>SUM(K134:M135)</f>
        <v>318308</v>
      </c>
      <c r="O134" s="45"/>
      <c r="P134" s="255"/>
      <c r="Q134" s="257">
        <v>500000</v>
      </c>
      <c r="R134" s="256">
        <v>178221</v>
      </c>
    </row>
    <row r="135" spans="1:18" x14ac:dyDescent="0.2">
      <c r="A135" s="202"/>
      <c r="B135" s="213"/>
      <c r="C135" s="50"/>
      <c r="D135" s="50">
        <f>'Levy Rate'!D135</f>
        <v>1205174732</v>
      </c>
      <c r="E135" s="54"/>
      <c r="F135" s="50">
        <f>ROUND($D135*'Levy Rate'!F135,0)</f>
        <v>0</v>
      </c>
      <c r="G135" s="50">
        <f>ROUND($D135*'Levy Rate'!G135,0)</f>
        <v>0</v>
      </c>
      <c r="H135" s="50">
        <f>ROUND($C135*'Levy Rate'!H135,0)</f>
        <v>0</v>
      </c>
      <c r="I135" s="50">
        <f>ROUND($D135*'Levy Rate'!I135,0)</f>
        <v>0</v>
      </c>
      <c r="J135" s="51"/>
      <c r="K135" s="202"/>
      <c r="L135" s="50">
        <f>ROUND($C135*'Levy Rate'!L135,0)</f>
        <v>0</v>
      </c>
      <c r="M135" s="50">
        <f>ROUND($D135*'Levy Rate'!M135,0)</f>
        <v>316779</v>
      </c>
      <c r="N135" s="199"/>
      <c r="O135" s="45"/>
      <c r="P135" s="262"/>
      <c r="Q135" s="266"/>
      <c r="R135" s="263"/>
    </row>
    <row r="136" spans="1:18" x14ac:dyDescent="0.2">
      <c r="A136" s="61">
        <f>'Levy Rate'!A136</f>
        <v>372</v>
      </c>
      <c r="B136" s="62" t="str">
        <f>'Levy Rate'!B136</f>
        <v>New Plymouth</v>
      </c>
      <c r="C136" s="63">
        <f>'Levy Rate'!C136</f>
        <v>905414775</v>
      </c>
      <c r="D136" s="63">
        <f>'Levy Rate'!D136</f>
        <v>0</v>
      </c>
      <c r="E136" s="64">
        <f>ROUND($C136*'Levy Rate'!E136,0)</f>
        <v>0</v>
      </c>
      <c r="F136" s="63">
        <f>ROUND($C136*'Levy Rate'!F136,0)</f>
        <v>350000</v>
      </c>
      <c r="G136" s="63">
        <f>ROUND($C136*'Levy Rate'!G136,0)</f>
        <v>0</v>
      </c>
      <c r="H136" s="63">
        <f>ROUND($C136*'Levy Rate'!H136,0)</f>
        <v>36380</v>
      </c>
      <c r="I136" s="63">
        <f>ROUND($C136*'Levy Rate'!I136,0)</f>
        <v>0</v>
      </c>
      <c r="J136" s="6" t="str">
        <f>IF('Levy Rate'!J136="","",'Levy Rate'!J136)</f>
        <v/>
      </c>
      <c r="K136" s="63">
        <f t="shared" si="4"/>
        <v>386380</v>
      </c>
      <c r="L136" s="63">
        <f>ROUND($C136*'Levy Rate'!L136,0)</f>
        <v>4579</v>
      </c>
      <c r="M136" s="63">
        <f>ROUND($C136*'Levy Rate'!M136,0)</f>
        <v>0</v>
      </c>
      <c r="N136" s="116">
        <f t="shared" si="5"/>
        <v>390959</v>
      </c>
      <c r="O136" s="45"/>
      <c r="P136" s="118">
        <v>499421</v>
      </c>
      <c r="Q136" s="63"/>
      <c r="R136" s="116"/>
    </row>
    <row r="137" spans="1:18" x14ac:dyDescent="0.2">
      <c r="A137" s="61">
        <f>'Levy Rate'!A137</f>
        <v>373</v>
      </c>
      <c r="B137" s="62" t="str">
        <f>'Levy Rate'!B137</f>
        <v>Fruitland</v>
      </c>
      <c r="C137" s="63">
        <f>'Levy Rate'!C137</f>
        <v>1647828945</v>
      </c>
      <c r="D137" s="63">
        <f>'Levy Rate'!D137</f>
        <v>0</v>
      </c>
      <c r="E137" s="64">
        <f>ROUND($C137*'Levy Rate'!E137,0)</f>
        <v>0</v>
      </c>
      <c r="F137" s="63">
        <f>ROUND($C137*'Levy Rate'!F137,0)</f>
        <v>0</v>
      </c>
      <c r="G137" s="63">
        <f>ROUND($C137*'Levy Rate'!G137,0)</f>
        <v>0</v>
      </c>
      <c r="H137" s="63">
        <f>ROUND($C137*'Levy Rate'!H137,0)</f>
        <v>42188</v>
      </c>
      <c r="I137" s="63">
        <f>ROUND($C137*'Levy Rate'!I137,0)</f>
        <v>0</v>
      </c>
      <c r="J137" s="6" t="str">
        <f>IF('Levy Rate'!J137="","",'Levy Rate'!J137)</f>
        <v/>
      </c>
      <c r="K137" s="63">
        <f t="shared" si="4"/>
        <v>42188</v>
      </c>
      <c r="L137" s="63">
        <f>ROUND($C137*'Levy Rate'!L137,0)+1</f>
        <v>7472</v>
      </c>
      <c r="M137" s="63">
        <f>ROUND($C137*'Levy Rate'!M137,0)-1</f>
        <v>350000</v>
      </c>
      <c r="N137" s="116">
        <f t="shared" si="5"/>
        <v>399660</v>
      </c>
      <c r="O137" s="45"/>
      <c r="P137" s="118">
        <v>834928</v>
      </c>
      <c r="Q137" s="63"/>
      <c r="R137" s="116"/>
    </row>
    <row r="138" spans="1:18" x14ac:dyDescent="0.2">
      <c r="A138" s="193">
        <f>'Levy Rate'!A138</f>
        <v>381</v>
      </c>
      <c r="B138" s="195" t="str">
        <f>'Levy Rate'!B138</f>
        <v>American Falls Joint</v>
      </c>
      <c r="C138" s="48">
        <f>'Levy Rate'!C138</f>
        <v>1399277815</v>
      </c>
      <c r="D138" s="48">
        <f>'Levy Rate'!D138</f>
        <v>0</v>
      </c>
      <c r="E138" s="57">
        <f>ROUND($C138*'Levy Rate'!E138,0)</f>
        <v>0</v>
      </c>
      <c r="F138" s="48">
        <f>ROUND($C138*'Levy Rate'!F138,0)</f>
        <v>0</v>
      </c>
      <c r="G138" s="48">
        <f>ROUND($C138*'Levy Rate'!G138,0)</f>
        <v>0</v>
      </c>
      <c r="H138" s="48">
        <f>ROUND($C138*'Levy Rate'!H138,0)</f>
        <v>0</v>
      </c>
      <c r="I138" s="48">
        <f>ROUND($C138*'Levy Rate'!I138,0)</f>
        <v>0</v>
      </c>
      <c r="J138" s="49" t="str">
        <f>IF('Levy Rate'!J138="","",'Levy Rate'!J138)</f>
        <v/>
      </c>
      <c r="K138" s="216">
        <f>SUM(E138:I139)</f>
        <v>2381095</v>
      </c>
      <c r="L138" s="48">
        <f>ROUND($C138*'Levy Rate'!L138,0)</f>
        <v>0</v>
      </c>
      <c r="M138" s="48">
        <f>ROUND($C138*'Levy Rate'!M138,0)</f>
        <v>0</v>
      </c>
      <c r="N138" s="218">
        <f>SUM(K138:M139)</f>
        <v>3056400</v>
      </c>
      <c r="O138" s="45"/>
      <c r="P138" s="258">
        <v>635000</v>
      </c>
      <c r="Q138" s="264">
        <v>182235</v>
      </c>
      <c r="R138" s="260"/>
    </row>
    <row r="139" spans="1:18" x14ac:dyDescent="0.2">
      <c r="A139" s="202"/>
      <c r="B139" s="213"/>
      <c r="C139" s="50"/>
      <c r="D139" s="50">
        <f>'Levy Rate'!D139</f>
        <v>1404684948</v>
      </c>
      <c r="E139" s="54">
        <f>ROUND($C139*'Levy Rate'!E139,0)</f>
        <v>0</v>
      </c>
      <c r="F139" s="50">
        <f>ROUND($D139*'Levy Rate'!F139,0)-1</f>
        <v>2381095</v>
      </c>
      <c r="G139" s="50">
        <f>ROUND($D139*'Levy Rate'!G139,0)</f>
        <v>0</v>
      </c>
      <c r="H139" s="50">
        <f>ROUND($C139*'Levy Rate'!H139,0)</f>
        <v>0</v>
      </c>
      <c r="I139" s="50">
        <f>ROUND($D139*'Levy Rate'!I139,0)</f>
        <v>0</v>
      </c>
      <c r="J139" s="51"/>
      <c r="K139" s="213"/>
      <c r="L139" s="50">
        <f>ROUND($D139*'Levy Rate'!L139,0)</f>
        <v>0</v>
      </c>
      <c r="M139" s="50">
        <f>ROUND($D139*'Levy Rate'!M139,0)</f>
        <v>675305</v>
      </c>
      <c r="N139" s="219"/>
      <c r="O139" s="45"/>
      <c r="P139" s="259"/>
      <c r="Q139" s="265"/>
      <c r="R139" s="261"/>
    </row>
    <row r="140" spans="1:18" x14ac:dyDescent="0.2">
      <c r="A140" s="61">
        <f>'Levy Rate'!A140</f>
        <v>382</v>
      </c>
      <c r="B140" s="62" t="str">
        <f>'Levy Rate'!B140</f>
        <v>Rockland</v>
      </c>
      <c r="C140" s="63">
        <f>'Levy Rate'!C140</f>
        <v>76937700</v>
      </c>
      <c r="D140" s="63">
        <f>'Levy Rate'!D140</f>
        <v>0</v>
      </c>
      <c r="E140" s="64">
        <f>ROUND($C140*'Levy Rate'!E140,0)</f>
        <v>0</v>
      </c>
      <c r="F140" s="63">
        <f>ROUND($C140*'Levy Rate'!F140,0)</f>
        <v>102725</v>
      </c>
      <c r="G140" s="63">
        <f>ROUND($C140*'Levy Rate'!G140,0)</f>
        <v>0</v>
      </c>
      <c r="H140" s="63">
        <f>ROUND($C140*'Levy Rate'!H140,0)</f>
        <v>0</v>
      </c>
      <c r="I140" s="63">
        <f>ROUND($C140*'Levy Rate'!I140,0)</f>
        <v>0</v>
      </c>
      <c r="J140" s="6"/>
      <c r="K140" s="63">
        <f t="shared" si="4"/>
        <v>102725</v>
      </c>
      <c r="L140" s="63">
        <f>ROUND($C140*'Levy Rate'!L140,0)</f>
        <v>0</v>
      </c>
      <c r="M140" s="63">
        <f>ROUND($C140*'Levy Rate'!M140,0)</f>
        <v>0</v>
      </c>
      <c r="N140" s="116">
        <f>SUM(K140:M140)</f>
        <v>102725</v>
      </c>
      <c r="O140" s="45"/>
      <c r="P140" s="118"/>
      <c r="Q140" s="63">
        <v>94724</v>
      </c>
      <c r="R140" s="116"/>
    </row>
    <row r="141" spans="1:18" x14ac:dyDescent="0.2">
      <c r="A141" s="61">
        <f>'Levy Rate'!A141</f>
        <v>383</v>
      </c>
      <c r="B141" s="62" t="str">
        <f>'Levy Rate'!B141</f>
        <v>Arbon Elementary</v>
      </c>
      <c r="C141" s="63">
        <f>'Levy Rate'!C141</f>
        <v>44931535</v>
      </c>
      <c r="D141" s="63">
        <f>'Levy Rate'!D141</f>
        <v>0</v>
      </c>
      <c r="E141" s="64">
        <f>ROUND($C141*'Levy Rate'!E141,0)</f>
        <v>0</v>
      </c>
      <c r="F141" s="63">
        <f>ROUND($C141*'Levy Rate'!F141,0)</f>
        <v>0</v>
      </c>
      <c r="G141" s="63">
        <f>ROUND($C141*'Levy Rate'!G141,0)</f>
        <v>0</v>
      </c>
      <c r="H141" s="63">
        <f>ROUND($C141*'Levy Rate'!H141,0)</f>
        <v>0</v>
      </c>
      <c r="I141" s="63">
        <f>ROUND($C141*'Levy Rate'!I141,0)</f>
        <v>10544</v>
      </c>
      <c r="J141" s="6" t="str">
        <f>IF('Levy Rate'!J141="","",'Levy Rate'!J141)</f>
        <v>t</v>
      </c>
      <c r="K141" s="63">
        <f t="shared" si="4"/>
        <v>10544</v>
      </c>
      <c r="L141" s="63">
        <f>ROUND($C141*'Levy Rate'!L141,0)</f>
        <v>0</v>
      </c>
      <c r="M141" s="63">
        <f>ROUND($C141*'Levy Rate'!M141,0)</f>
        <v>0</v>
      </c>
      <c r="N141" s="116">
        <f t="shared" si="5"/>
        <v>10544</v>
      </c>
      <c r="O141" s="45"/>
      <c r="P141" s="118"/>
      <c r="Q141" s="63"/>
      <c r="R141" s="116"/>
    </row>
    <row r="142" spans="1:18" x14ac:dyDescent="0.2">
      <c r="A142" s="61">
        <v>391</v>
      </c>
      <c r="B142" s="62" t="str">
        <f>'Levy Rate'!B142</f>
        <v>Kellogg Joint</v>
      </c>
      <c r="C142" s="63">
        <f>'Levy Rate'!C142</f>
        <v>1485988301</v>
      </c>
      <c r="D142" s="63">
        <f>'Levy Rate'!D142</f>
        <v>0</v>
      </c>
      <c r="E142" s="64">
        <f>ROUND($C142*'Levy Rate'!E142,0)</f>
        <v>0</v>
      </c>
      <c r="F142" s="63">
        <f>ROUND($C142*'Levy Rate'!F142,0)</f>
        <v>2939748</v>
      </c>
      <c r="G142" s="63">
        <f>ROUND($C142*'Levy Rate'!G142,0)</f>
        <v>0</v>
      </c>
      <c r="H142" s="63">
        <f>ROUND($C142*'Levy Rate'!H142,0)</f>
        <v>0</v>
      </c>
      <c r="I142" s="63">
        <f>ROUND($C142*'Levy Rate'!I142,0)</f>
        <v>0</v>
      </c>
      <c r="J142" s="6" t="str">
        <f>IF('Levy Rate'!J142="","",'Levy Rate'!J142)</f>
        <v/>
      </c>
      <c r="K142" s="63">
        <f t="shared" si="4"/>
        <v>2939748</v>
      </c>
      <c r="L142" s="63">
        <f>ROUND($C142*'Levy Rate'!L142,0)</f>
        <v>653318</v>
      </c>
      <c r="M142" s="63">
        <f>ROUND($C142*'Levy Rate'!M142,0)</f>
        <v>0</v>
      </c>
      <c r="N142" s="116">
        <f t="shared" si="5"/>
        <v>3593066</v>
      </c>
      <c r="O142" s="45"/>
      <c r="P142" s="118">
        <v>577330</v>
      </c>
      <c r="Q142" s="63"/>
      <c r="R142" s="116"/>
    </row>
    <row r="143" spans="1:18" x14ac:dyDescent="0.2">
      <c r="A143" s="61">
        <v>392</v>
      </c>
      <c r="B143" s="62" t="str">
        <f>'Levy Rate'!B143</f>
        <v>Mullan</v>
      </c>
      <c r="C143" s="63">
        <f>'Levy Rate'!C143</f>
        <v>159287847</v>
      </c>
      <c r="D143" s="63">
        <f>'Levy Rate'!D143</f>
        <v>0</v>
      </c>
      <c r="E143" s="64">
        <f>ROUND($C143*'Levy Rate'!E143,0)</f>
        <v>0</v>
      </c>
      <c r="F143" s="63">
        <f>ROUND($C143*'Levy Rate'!F143,0)</f>
        <v>675000</v>
      </c>
      <c r="G143" s="63">
        <f>ROUND($C143*'Levy Rate'!G143,0)</f>
        <v>0</v>
      </c>
      <c r="H143" s="63">
        <f>ROUND($C143*'Levy Rate'!H143,0)</f>
        <v>10513</v>
      </c>
      <c r="I143" s="63">
        <f>ROUND($C143*'Levy Rate'!I143,0)</f>
        <v>0</v>
      </c>
      <c r="J143" s="6" t="str">
        <f>IF('Levy Rate'!J143="","",'Levy Rate'!J143)</f>
        <v/>
      </c>
      <c r="K143" s="63">
        <f t="shared" si="4"/>
        <v>685513</v>
      </c>
      <c r="L143" s="63">
        <f>ROUND($C143*'Levy Rate'!L143,0)</f>
        <v>0</v>
      </c>
      <c r="M143" s="63">
        <f>ROUND($C143*'Levy Rate'!M143,0)</f>
        <v>0</v>
      </c>
      <c r="N143" s="116">
        <f t="shared" si="5"/>
        <v>685513</v>
      </c>
      <c r="O143" s="45"/>
      <c r="P143" s="118"/>
      <c r="Q143" s="63"/>
      <c r="R143" s="116"/>
    </row>
    <row r="144" spans="1:18" x14ac:dyDescent="0.2">
      <c r="A144" s="61">
        <f>'Levy Rate'!A144</f>
        <v>393</v>
      </c>
      <c r="B144" s="62" t="str">
        <f>'Levy Rate'!B144</f>
        <v>Wallace</v>
      </c>
      <c r="C144" s="63">
        <f>'Levy Rate'!C144</f>
        <v>681867335</v>
      </c>
      <c r="D144" s="63">
        <f>'Levy Rate'!D144</f>
        <v>0</v>
      </c>
      <c r="E144" s="64">
        <f>ROUND($C144*'Levy Rate'!E144,0)</f>
        <v>0</v>
      </c>
      <c r="F144" s="63">
        <f>ROUND($C144*'Levy Rate'!F144,0)</f>
        <v>1410616</v>
      </c>
      <c r="G144" s="63">
        <f>ROUND($C144*'Levy Rate'!G144,0)</f>
        <v>0</v>
      </c>
      <c r="H144" s="63">
        <f>ROUND($C144*'Levy Rate'!H144,0)</f>
        <v>0</v>
      </c>
      <c r="I144" s="63">
        <f>ROUND($C144*'Levy Rate'!I144,0)</f>
        <v>0</v>
      </c>
      <c r="J144" s="6" t="str">
        <f>IF('Levy Rate'!J144="","",'Levy Rate'!J144)</f>
        <v/>
      </c>
      <c r="K144" s="63">
        <f t="shared" si="4"/>
        <v>1410616</v>
      </c>
      <c r="L144" s="63">
        <f>ROUND($C144*'Levy Rate'!L144,0)</f>
        <v>0</v>
      </c>
      <c r="M144" s="63">
        <f>ROUND($C144*'Levy Rate'!M144,0)</f>
        <v>0</v>
      </c>
      <c r="N144" s="116">
        <f t="shared" si="5"/>
        <v>1410616</v>
      </c>
      <c r="O144" s="45"/>
      <c r="P144" s="118"/>
      <c r="Q144" s="63">
        <v>254464</v>
      </c>
      <c r="R144" s="116"/>
    </row>
    <row r="145" spans="1:18" x14ac:dyDescent="0.2">
      <c r="A145" s="61">
        <f>'Levy Rate'!A145</f>
        <v>394</v>
      </c>
      <c r="B145" s="62" t="str">
        <f>'Levy Rate'!B145</f>
        <v>Avery</v>
      </c>
      <c r="C145" s="63">
        <f>'Levy Rate'!C145</f>
        <v>215790107</v>
      </c>
      <c r="D145" s="63">
        <f>'Levy Rate'!D145</f>
        <v>0</v>
      </c>
      <c r="E145" s="63">
        <f>ROUND($C145*'Levy Rate'!E145,0)</f>
        <v>117520</v>
      </c>
      <c r="F145" s="63">
        <f>ROUND($C145*'Levy Rate'!F145,0)</f>
        <v>0</v>
      </c>
      <c r="G145" s="63">
        <f>ROUND($C145*'Levy Rate'!G145,0)</f>
        <v>0</v>
      </c>
      <c r="H145" s="63">
        <f>ROUND($C145*'Levy Rate'!H145,0)</f>
        <v>1074</v>
      </c>
      <c r="I145" s="63">
        <f>ROUND($C145*'Levy Rate'!I145,0)</f>
        <v>45000</v>
      </c>
      <c r="J145" s="6" t="str">
        <f>IF('Levy Rate'!J145="","",'Levy Rate'!J145)</f>
        <v>t</v>
      </c>
      <c r="K145" s="63">
        <f t="shared" si="4"/>
        <v>163594</v>
      </c>
      <c r="L145" s="63">
        <f>ROUND($C145*'Levy Rate'!L145,0)</f>
        <v>0</v>
      </c>
      <c r="M145" s="63">
        <f>ROUND($C145*'Levy Rate'!M145,0)</f>
        <v>0</v>
      </c>
      <c r="N145" s="116">
        <f t="shared" si="5"/>
        <v>163594</v>
      </c>
      <c r="O145" s="45"/>
      <c r="P145" s="118"/>
      <c r="Q145" s="63"/>
      <c r="R145" s="116"/>
    </row>
    <row r="146" spans="1:18" x14ac:dyDescent="0.2">
      <c r="A146" s="193">
        <f>'Levy Rate'!A146:A147</f>
        <v>401</v>
      </c>
      <c r="B146" s="195" t="str">
        <f>'Levy Rate'!B146:B147</f>
        <v>Teton County</v>
      </c>
      <c r="C146" s="48">
        <f>'Levy Rate'!C146</f>
        <v>6239826697</v>
      </c>
      <c r="D146" s="48">
        <f>'Levy Rate'!D146</f>
        <v>0</v>
      </c>
      <c r="E146" s="57">
        <f>ROUND($C146*'Levy Rate'!E146,0)</f>
        <v>0</v>
      </c>
      <c r="F146" s="48">
        <f>ROUND($C146*'Levy Rate'!F146,0)</f>
        <v>0</v>
      </c>
      <c r="G146" s="48">
        <f>ROUND($C146*'Levy Rate'!G146,0)</f>
        <v>0</v>
      </c>
      <c r="H146" s="48">
        <f>ROUND($C146*'Levy Rate'!H146,0)-1</f>
        <v>16753</v>
      </c>
      <c r="I146" s="48">
        <f>ROUND($C146*'Levy Rate'!I146,0)</f>
        <v>0</v>
      </c>
      <c r="J146" s="49" t="str">
        <f>IF('Levy Rate'!J146="","",'Levy Rate'!J146)</f>
        <v/>
      </c>
      <c r="K146" s="200">
        <f>SUM(E146:I147)</f>
        <v>5272448</v>
      </c>
      <c r="L146" s="48">
        <f>ROUND($C146*'Levy Rate'!L146,0)</f>
        <v>0</v>
      </c>
      <c r="M146" s="134">
        <f>ROUND($C146*'Levy Rate'!M146,0)</f>
        <v>0</v>
      </c>
      <c r="N146" s="197">
        <f>SUM(K146:M148)</f>
        <v>7364428</v>
      </c>
      <c r="O146" s="45"/>
      <c r="P146" s="255">
        <v>996266</v>
      </c>
      <c r="Q146" s="257"/>
      <c r="R146" s="256"/>
    </row>
    <row r="147" spans="1:18" x14ac:dyDescent="0.2">
      <c r="A147" s="214"/>
      <c r="B147" s="212"/>
      <c r="C147" s="16">
        <f>'Levy Rate'!C147</f>
        <v>0</v>
      </c>
      <c r="D147" s="16">
        <f>'Levy Rate'!D147</f>
        <v>6344665075</v>
      </c>
      <c r="E147" s="53">
        <f>ROUND($D147*'Levy Rate'!E147,0)</f>
        <v>0</v>
      </c>
      <c r="F147" s="16">
        <f>ROUND($D147*'Levy Rate'!F147,0)</f>
        <v>4932000</v>
      </c>
      <c r="G147" s="16">
        <f>ROUND($D147*'Levy Rate'!G147,0)+3</f>
        <v>323695</v>
      </c>
      <c r="H147" s="16">
        <f>ROUND($D147*'Levy Rate'!H147,0)</f>
        <v>0</v>
      </c>
      <c r="I147" s="16">
        <f>ROUND($D147*'Levy Rate'!I147,0)</f>
        <v>0</v>
      </c>
      <c r="J147" s="46" t="str">
        <f>IF('Levy Rate'!J147="","",'Levy Rate'!J147)</f>
        <v/>
      </c>
      <c r="K147" s="201"/>
      <c r="L147" s="16">
        <f>ROUND($D147*'Levy Rate'!L147,0)+3</f>
        <v>1184723</v>
      </c>
      <c r="M147" s="16">
        <f>ROUND($D147*'Levy Rate'!M147,0)+2</f>
        <v>500000</v>
      </c>
      <c r="N147" s="198"/>
      <c r="O147" s="45"/>
      <c r="P147" s="255"/>
      <c r="Q147" s="257"/>
      <c r="R147" s="256"/>
    </row>
    <row r="148" spans="1:18" x14ac:dyDescent="0.2">
      <c r="A148" s="202"/>
      <c r="B148" s="213"/>
      <c r="C148" s="50"/>
      <c r="D148" s="50">
        <f>'Levy Rate'!D148</f>
        <v>6281663397</v>
      </c>
      <c r="E148" s="54"/>
      <c r="F148" s="50"/>
      <c r="G148" s="50"/>
      <c r="H148" s="50"/>
      <c r="I148" s="50"/>
      <c r="J148" s="51"/>
      <c r="K148" s="202"/>
      <c r="L148" s="50">
        <f>ROUND($D148*'Levy Rate'!L148,0)-2</f>
        <v>407257</v>
      </c>
      <c r="M148" s="50">
        <f>ROUND($C148*'Levy Rate'!M148,0)</f>
        <v>0</v>
      </c>
      <c r="N148" s="199"/>
      <c r="O148" s="45"/>
      <c r="P148" s="262"/>
      <c r="Q148" s="266"/>
      <c r="R148" s="263"/>
    </row>
    <row r="149" spans="1:18" x14ac:dyDescent="0.2">
      <c r="A149" s="193">
        <f>'Levy Rate'!A149:A150</f>
        <v>411</v>
      </c>
      <c r="B149" s="195" t="str">
        <f>'Levy Rate'!B149:B150</f>
        <v>Twin Falls</v>
      </c>
      <c r="C149" s="48">
        <f>'Levy Rate'!C149</f>
        <v>7519628271</v>
      </c>
      <c r="D149" s="48">
        <f>'Levy Rate'!D149</f>
        <v>0</v>
      </c>
      <c r="E149" s="57">
        <f>ROUND($C149*'Levy Rate'!E149,0)</f>
        <v>0</v>
      </c>
      <c r="F149" s="48">
        <f>ROUND($C149*'Levy Rate'!F149,0)</f>
        <v>0</v>
      </c>
      <c r="G149" s="48">
        <f>ROUND($C149*'Levy Rate'!G149,0)</f>
        <v>0</v>
      </c>
      <c r="H149" s="48">
        <f>ROUND($C149*'Levy Rate'!H149,0)-3</f>
        <v>16946</v>
      </c>
      <c r="I149" s="48">
        <f>ROUND($C149*'Levy Rate'!I149,0)</f>
        <v>0</v>
      </c>
      <c r="J149" s="49" t="str">
        <f>IF('Levy Rate'!J149="","",'Levy Rate'!J149)</f>
        <v/>
      </c>
      <c r="K149" s="200">
        <f>SUM(E149:I151)</f>
        <v>5716946</v>
      </c>
      <c r="L149" s="48">
        <f>ROUND($C149*'Levy Rate'!L149,0)</f>
        <v>0</v>
      </c>
      <c r="M149" s="48">
        <f>ROUND($C149*'Levy Rate'!M149,0)</f>
        <v>0</v>
      </c>
      <c r="N149" s="197">
        <f>SUM(K149:M151)</f>
        <v>12030552</v>
      </c>
      <c r="O149" s="45"/>
      <c r="P149" s="255">
        <v>4716895</v>
      </c>
      <c r="Q149" s="257"/>
      <c r="R149" s="256"/>
    </row>
    <row r="150" spans="1:18" x14ac:dyDescent="0.2">
      <c r="A150" s="214"/>
      <c r="B150" s="212"/>
      <c r="C150" s="16">
        <f>'Levy Rate'!C150</f>
        <v>0</v>
      </c>
      <c r="D150" s="16">
        <f>'Levy Rate'!D150</f>
        <v>8074123487</v>
      </c>
      <c r="E150" s="53">
        <f>ROUND($D150*'Levy Rate'!E150,0)</f>
        <v>0</v>
      </c>
      <c r="F150" s="16">
        <f>ROUND($D150*'Levy Rate'!F150,0)</f>
        <v>5700000</v>
      </c>
      <c r="G150" s="16">
        <f>ROUND($D150*'Levy Rate'!G150,0)</f>
        <v>0</v>
      </c>
      <c r="H150" s="16">
        <f>ROUND($D150*'Levy Rate'!H150,0)</f>
        <v>0</v>
      </c>
      <c r="I150" s="16">
        <f>ROUND($D150*'Levy Rate'!I150,0)</f>
        <v>0</v>
      </c>
      <c r="J150" s="46" t="str">
        <f>IF('Levy Rate'!J150="","",'Levy Rate'!J150)</f>
        <v/>
      </c>
      <c r="K150" s="201"/>
      <c r="L150" s="16">
        <f>ROUND($D150*'Levy Rate'!L150,0)+4</f>
        <v>1563606</v>
      </c>
      <c r="M150" s="16">
        <f>ROUND($D150*'Levy Rate'!M150,0)+1</f>
        <v>4750000</v>
      </c>
      <c r="N150" s="198"/>
      <c r="O150" s="45"/>
      <c r="P150" s="255"/>
      <c r="Q150" s="257"/>
      <c r="R150" s="256"/>
    </row>
    <row r="151" spans="1:18" x14ac:dyDescent="0.2">
      <c r="A151" s="202"/>
      <c r="B151" s="213"/>
      <c r="C151" s="50"/>
      <c r="D151" s="50">
        <f>'Levy Rate'!D151</f>
        <v>8074123487</v>
      </c>
      <c r="E151" s="54"/>
      <c r="F151" s="50"/>
      <c r="G151" s="50"/>
      <c r="H151" s="50"/>
      <c r="I151" s="50">
        <f>ROUND($C151*'Levy Rate'!I151,0)</f>
        <v>0</v>
      </c>
      <c r="J151" s="51"/>
      <c r="K151" s="202"/>
      <c r="L151" s="50">
        <f>ROUND($D151*'Levy Rate'!L151,0)</f>
        <v>0</v>
      </c>
      <c r="M151" s="50"/>
      <c r="N151" s="199"/>
      <c r="O151" s="45"/>
      <c r="P151" s="262"/>
      <c r="Q151" s="266"/>
      <c r="R151" s="263"/>
    </row>
    <row r="152" spans="1:18" x14ac:dyDescent="0.2">
      <c r="A152" s="193">
        <f>'Levy Rate'!A152:A152</f>
        <v>412</v>
      </c>
      <c r="B152" s="205" t="str">
        <f>'Levy Rate'!B152:B152</f>
        <v>Buhl Joint</v>
      </c>
      <c r="C152" s="48">
        <f>'Levy Rate'!C152</f>
        <v>1086146984</v>
      </c>
      <c r="D152" s="48">
        <f>'Levy Rate'!D152</f>
        <v>0</v>
      </c>
      <c r="E152" s="57">
        <f>ROUND($C152*'Levy Rate'!E152,0)</f>
        <v>0</v>
      </c>
      <c r="F152" s="48">
        <f>ROUND($C152*'Levy Rate'!F152,0)</f>
        <v>0</v>
      </c>
      <c r="G152" s="48">
        <f>ROUND($C152*'Levy Rate'!G152,0)</f>
        <v>0</v>
      </c>
      <c r="H152" s="48">
        <f>ROUND($C152*'Levy Rate'!H152,0)</f>
        <v>10984</v>
      </c>
      <c r="I152" s="48">
        <f>ROUND($C152*'Levy Rate'!I152,0)</f>
        <v>0</v>
      </c>
      <c r="J152" s="49" t="str">
        <f>IF('Levy Rate'!J152="","",'Levy Rate'!J152)</f>
        <v/>
      </c>
      <c r="K152" s="200">
        <f>SUM(E152:I154)</f>
        <v>10984</v>
      </c>
      <c r="L152" s="48">
        <f>ROUND($C152*'Levy Rate'!L152,0)</f>
        <v>0</v>
      </c>
      <c r="M152" s="48">
        <f>ROUND($C152*'Levy Rate'!M152,0)</f>
        <v>0</v>
      </c>
      <c r="N152" s="218">
        <f>SUM(K152:M154)</f>
        <v>10984</v>
      </c>
      <c r="O152" s="45"/>
      <c r="P152" s="258"/>
      <c r="Q152" s="264"/>
      <c r="R152" s="260"/>
    </row>
    <row r="153" spans="1:18" x14ac:dyDescent="0.2">
      <c r="A153" s="222"/>
      <c r="B153" s="223"/>
      <c r="C153" s="16"/>
      <c r="D153" s="16">
        <f>'Levy Rate'!D153</f>
        <v>1124709725</v>
      </c>
      <c r="E153" s="53"/>
      <c r="F153" s="16">
        <f>ROUND($D153*'Levy Rate'!F153,0)</f>
        <v>0</v>
      </c>
      <c r="G153" s="16">
        <f>ROUND($D153*'Levy Rate'!G153,0)</f>
        <v>0</v>
      </c>
      <c r="H153" s="16"/>
      <c r="I153" s="16">
        <f>ROUND($D153*'Levy Rate'!I153,0)</f>
        <v>0</v>
      </c>
      <c r="J153" s="46"/>
      <c r="K153" s="222"/>
      <c r="L153" s="16">
        <f>ROUND($C153*'Levy Rate'!L153,0)</f>
        <v>0</v>
      </c>
      <c r="M153" s="16">
        <f>ROUND($D153*'Levy Rate'!M153,0)</f>
        <v>0</v>
      </c>
      <c r="N153" s="224"/>
      <c r="O153" s="45"/>
      <c r="P153" s="259"/>
      <c r="Q153" s="265"/>
      <c r="R153" s="261"/>
    </row>
    <row r="154" spans="1:18" x14ac:dyDescent="0.2">
      <c r="A154" s="202"/>
      <c r="B154" s="208"/>
      <c r="C154" s="50"/>
      <c r="D154" s="50">
        <f>'Levy Rate'!D154</f>
        <v>1092776208</v>
      </c>
      <c r="E154" s="54"/>
      <c r="F154" s="50">
        <f>ROUND($D154*'Levy Rate'!F154,0)</f>
        <v>0</v>
      </c>
      <c r="G154" s="50"/>
      <c r="H154" s="50"/>
      <c r="I154" s="50">
        <f>ROUND($C154*'Levy Rate'!I154,0)</f>
        <v>0</v>
      </c>
      <c r="J154" s="51"/>
      <c r="K154" s="202"/>
      <c r="L154" s="50">
        <f>ROUND($D154*'Levy Rate'!L154,0)</f>
        <v>0</v>
      </c>
      <c r="M154" s="50"/>
      <c r="N154" s="219"/>
      <c r="O154" s="45"/>
      <c r="P154" s="259"/>
      <c r="Q154" s="265"/>
      <c r="R154" s="261"/>
    </row>
    <row r="155" spans="1:18" x14ac:dyDescent="0.2">
      <c r="A155" s="61">
        <f>'Levy Rate'!A155</f>
        <v>413</v>
      </c>
      <c r="B155" s="62" t="str">
        <f>'Levy Rate'!B155</f>
        <v>Filer</v>
      </c>
      <c r="C155" s="63">
        <f>'Levy Rate'!C155</f>
        <v>1000324460</v>
      </c>
      <c r="D155" s="63">
        <f>'Levy Rate'!D155</f>
        <v>0</v>
      </c>
      <c r="E155" s="64">
        <f>ROUND($C155*'Levy Rate'!E155,0)</f>
        <v>0</v>
      </c>
      <c r="F155" s="63">
        <f>ROUND($C155*'Levy Rate'!F155,0)</f>
        <v>463031</v>
      </c>
      <c r="G155" s="63">
        <f>ROUND($C155*'Levy Rate'!G155,0)</f>
        <v>0</v>
      </c>
      <c r="H155" s="63">
        <f>ROUND($C155*'Levy Rate'!H155,0)</f>
        <v>0</v>
      </c>
      <c r="I155" s="63">
        <f>ROUND($C155*'Levy Rate'!I155,0)</f>
        <v>0</v>
      </c>
      <c r="J155" s="6" t="str">
        <f>IF('Levy Rate'!J155="","",'Levy Rate'!J155)</f>
        <v/>
      </c>
      <c r="K155" s="63">
        <f t="shared" si="4"/>
        <v>463031</v>
      </c>
      <c r="L155" s="63">
        <f>ROUND($C155*'Levy Rate'!L155,0)</f>
        <v>0</v>
      </c>
      <c r="M155" s="63">
        <f>ROUND($C155*'Levy Rate'!M155,0)</f>
        <v>0</v>
      </c>
      <c r="N155" s="116">
        <f t="shared" si="5"/>
        <v>463031</v>
      </c>
      <c r="O155" s="45"/>
      <c r="P155" s="118">
        <v>780911</v>
      </c>
      <c r="Q155" s="63"/>
      <c r="R155" s="116"/>
    </row>
    <row r="156" spans="1:18" x14ac:dyDescent="0.2">
      <c r="A156" s="61">
        <f>'Levy Rate'!A156</f>
        <v>414</v>
      </c>
      <c r="B156" s="62" t="str">
        <f>'Levy Rate'!B156</f>
        <v>Kimberly</v>
      </c>
      <c r="C156" s="63">
        <f>'Levy Rate'!C156</f>
        <v>1197665752</v>
      </c>
      <c r="D156" s="63">
        <f>'Levy Rate'!D156</f>
        <v>0</v>
      </c>
      <c r="E156" s="64">
        <f>ROUND($C156*'Levy Rate'!E156,0)</f>
        <v>0</v>
      </c>
      <c r="F156" s="63">
        <f>ROUND($C156*'Levy Rate'!F156,0)</f>
        <v>800000</v>
      </c>
      <c r="G156" s="63">
        <f>ROUND($C156*'Levy Rate'!G156,0)</f>
        <v>0</v>
      </c>
      <c r="H156" s="63">
        <f>ROUND($C156*'Levy Rate'!H156,0)</f>
        <v>57439</v>
      </c>
      <c r="I156" s="63">
        <f>ROUND($C156*'Levy Rate'!I156,0)</f>
        <v>0</v>
      </c>
      <c r="J156" s="6" t="str">
        <f>IF('Levy Rate'!J156="","",'Levy Rate'!J156)</f>
        <v/>
      </c>
      <c r="K156" s="63">
        <f t="shared" si="4"/>
        <v>857439</v>
      </c>
      <c r="L156" s="63">
        <f>ROUND($C156*'Levy Rate'!L156,0)</f>
        <v>85391</v>
      </c>
      <c r="M156" s="63">
        <f>ROUND($C156*'Levy Rate'!M156,0)</f>
        <v>300000</v>
      </c>
      <c r="N156" s="116">
        <f t="shared" si="5"/>
        <v>1242830</v>
      </c>
      <c r="O156" s="45"/>
      <c r="P156" s="118">
        <v>1034284</v>
      </c>
      <c r="Q156" s="63"/>
      <c r="R156" s="116"/>
    </row>
    <row r="157" spans="1:18" x14ac:dyDescent="0.2">
      <c r="A157" s="61">
        <f>'Levy Rate'!A157</f>
        <v>415</v>
      </c>
      <c r="B157" s="62" t="str">
        <f>'Levy Rate'!B157</f>
        <v>Hansen</v>
      </c>
      <c r="C157" s="63">
        <f>'Levy Rate'!C157</f>
        <v>232395474</v>
      </c>
      <c r="D157" s="63">
        <f>'Levy Rate'!D157</f>
        <v>0</v>
      </c>
      <c r="E157" s="64">
        <f>ROUND($C157*'Levy Rate'!E157,0)</f>
        <v>0</v>
      </c>
      <c r="F157" s="63">
        <f>ROUND($C157*'Levy Rate'!F157,0)</f>
        <v>132854</v>
      </c>
      <c r="G157" s="63">
        <f>ROUND($C157*'Levy Rate'!G157,0)</f>
        <v>0</v>
      </c>
      <c r="H157" s="63">
        <f>ROUND($C157*'Levy Rate'!H157,0)</f>
        <v>20126</v>
      </c>
      <c r="I157" s="63">
        <f>ROUND($C157*'Levy Rate'!I157,0)</f>
        <v>4561</v>
      </c>
      <c r="J157" s="6" t="str">
        <f>IF('Levy Rate'!J157="","",'Levy Rate'!J157)</f>
        <v>j</v>
      </c>
      <c r="K157" s="63">
        <f t="shared" si="4"/>
        <v>157541</v>
      </c>
      <c r="L157" s="63">
        <f>ROUND($C157*'Levy Rate'!L157,0)</f>
        <v>0</v>
      </c>
      <c r="M157" s="63">
        <f>ROUND($C157*'Levy Rate'!M157,0)</f>
        <v>200000</v>
      </c>
      <c r="N157" s="116">
        <f t="shared" si="5"/>
        <v>357541</v>
      </c>
      <c r="O157" s="45"/>
      <c r="P157" s="118"/>
      <c r="Q157" s="63">
        <v>157146</v>
      </c>
      <c r="R157" s="116"/>
    </row>
    <row r="158" spans="1:18" x14ac:dyDescent="0.2">
      <c r="A158" s="61">
        <f>'Levy Rate'!A158</f>
        <v>416</v>
      </c>
      <c r="B158" s="62" t="str">
        <f>'Levy Rate'!B158</f>
        <v>Three Creek Jt Elem</v>
      </c>
      <c r="C158" s="63">
        <f>'Levy Rate'!C158</f>
        <v>33209431</v>
      </c>
      <c r="D158" s="63">
        <f>'Levy Rate'!D158</f>
        <v>0</v>
      </c>
      <c r="E158" s="64">
        <f>ROUND($C158*'Levy Rate'!E158,0)</f>
        <v>0</v>
      </c>
      <c r="F158" s="63">
        <f>ROUND($C158*'Levy Rate'!F158,0)</f>
        <v>0</v>
      </c>
      <c r="G158" s="63">
        <f>ROUND($C158*'Levy Rate'!G158,0)</f>
        <v>0</v>
      </c>
      <c r="H158" s="63">
        <f>ROUND($C158*'Levy Rate'!H158,0)</f>
        <v>0</v>
      </c>
      <c r="I158" s="63">
        <f>ROUND($C158*'Levy Rate'!I158,0)</f>
        <v>0</v>
      </c>
      <c r="J158" s="6" t="str">
        <f>IF('Levy Rate'!J158="","",'Levy Rate'!J158)</f>
        <v/>
      </c>
      <c r="K158" s="63">
        <f t="shared" si="4"/>
        <v>0</v>
      </c>
      <c r="L158" s="63">
        <f>ROUND($C158*'Levy Rate'!L158,0)</f>
        <v>27597</v>
      </c>
      <c r="M158" s="63">
        <f>ROUND($C158*'Levy Rate'!M158,0)</f>
        <v>0</v>
      </c>
      <c r="N158" s="116">
        <f t="shared" si="5"/>
        <v>27597</v>
      </c>
      <c r="O158" s="45"/>
      <c r="P158" s="118">
        <v>2250</v>
      </c>
      <c r="Q158" s="63"/>
      <c r="R158" s="116"/>
    </row>
    <row r="159" spans="1:18" x14ac:dyDescent="0.2">
      <c r="A159" s="61">
        <f>'Levy Rate'!A159</f>
        <v>417</v>
      </c>
      <c r="B159" s="62" t="str">
        <f>'Levy Rate'!B159</f>
        <v>Castleford Joint</v>
      </c>
      <c r="C159" s="63">
        <f>'Levy Rate'!C159</f>
        <v>231296717</v>
      </c>
      <c r="D159" s="63">
        <f>'Levy Rate'!D159</f>
        <v>0</v>
      </c>
      <c r="E159" s="64">
        <f>ROUND($C159*'Levy Rate'!E159,0)</f>
        <v>0</v>
      </c>
      <c r="F159" s="63">
        <f>ROUND($C159*'Levy Rate'!F159,0)</f>
        <v>189444</v>
      </c>
      <c r="G159" s="63">
        <f>ROUND($C159*'Levy Rate'!G159,0)</f>
        <v>0</v>
      </c>
      <c r="H159" s="63">
        <f>ROUND($C159*'Levy Rate'!H159,0)</f>
        <v>36031</v>
      </c>
      <c r="I159" s="63">
        <f>ROUND($C159*'Levy Rate'!I159,0)</f>
        <v>0</v>
      </c>
      <c r="J159" s="6" t="str">
        <f>IF('Levy Rate'!J159="","",'Levy Rate'!J159)</f>
        <v/>
      </c>
      <c r="K159" s="63">
        <f t="shared" si="4"/>
        <v>225475</v>
      </c>
      <c r="L159" s="63">
        <f>ROUND($C159*'Levy Rate'!L159,0)</f>
        <v>0</v>
      </c>
      <c r="M159" s="63">
        <f>ROUND($C159*'Levy Rate'!M159,0)</f>
        <v>0</v>
      </c>
      <c r="N159" s="116">
        <f t="shared" si="5"/>
        <v>225475</v>
      </c>
      <c r="O159" s="45"/>
      <c r="P159" s="118"/>
      <c r="Q159" s="63">
        <v>160556</v>
      </c>
      <c r="R159" s="116"/>
    </row>
    <row r="160" spans="1:18" x14ac:dyDescent="0.2">
      <c r="A160" s="61">
        <f>'Levy Rate'!A160</f>
        <v>418</v>
      </c>
      <c r="B160" s="62" t="str">
        <f>'Levy Rate'!B160</f>
        <v>Murtaugh Joint</v>
      </c>
      <c r="C160" s="63">
        <f>'Levy Rate'!C160</f>
        <v>245365095</v>
      </c>
      <c r="D160" s="63">
        <f>'Levy Rate'!D160</f>
        <v>0</v>
      </c>
      <c r="E160" s="64">
        <f>ROUND($C160*'Levy Rate'!E160,0)</f>
        <v>0</v>
      </c>
      <c r="F160" s="63">
        <f>ROUND($C160*'Levy Rate'!F160,0)</f>
        <v>0</v>
      </c>
      <c r="G160" s="63">
        <f>ROUND($C160*'Levy Rate'!G160,0)</f>
        <v>0</v>
      </c>
      <c r="H160" s="63">
        <f>ROUND($C160*'Levy Rate'!H160,0)</f>
        <v>0</v>
      </c>
      <c r="I160" s="63">
        <f>ROUND($C160*'Levy Rate'!I160,0)</f>
        <v>176</v>
      </c>
      <c r="J160" s="6" t="str">
        <f>IF('Levy Rate'!J160="","",'Levy Rate'!J160)</f>
        <v>j</v>
      </c>
      <c r="K160" s="63">
        <f t="shared" si="4"/>
        <v>176</v>
      </c>
      <c r="L160" s="63">
        <f>ROUND($C160*'Levy Rate'!L160,0)</f>
        <v>77975</v>
      </c>
      <c r="M160" s="63">
        <f>ROUND($C160*'Levy Rate'!M160,0)</f>
        <v>175000</v>
      </c>
      <c r="N160" s="116">
        <f t="shared" si="5"/>
        <v>253151</v>
      </c>
      <c r="O160" s="45"/>
      <c r="P160" s="118">
        <v>221595</v>
      </c>
      <c r="Q160" s="63"/>
      <c r="R160" s="116"/>
    </row>
    <row r="161" spans="1:18" x14ac:dyDescent="0.2">
      <c r="A161" s="193">
        <f>'Levy Rate'!A161:A161</f>
        <v>421</v>
      </c>
      <c r="B161" s="195" t="str">
        <f>'Levy Rate'!B161:B161</f>
        <v>McCall-Donnelly Joint</v>
      </c>
      <c r="C161" s="48">
        <f>'Levy Rate'!C161</f>
        <v>10367496113</v>
      </c>
      <c r="D161" s="48">
        <f>'Levy Rate'!D161</f>
        <v>0</v>
      </c>
      <c r="E161" s="48">
        <f>ROUND($C161*'Levy Rate'!E161,0)-2</f>
        <v>5658712</v>
      </c>
      <c r="F161" s="48">
        <f>ROUND($C161*'Levy Rate'!F161,0)</f>
        <v>0</v>
      </c>
      <c r="G161" s="48">
        <f>ROUND($C161*'Levy Rate'!G161,0)</f>
        <v>0</v>
      </c>
      <c r="H161" s="48">
        <f>ROUND($C161*'Levy Rate'!H161,0)+1</f>
        <v>34545</v>
      </c>
      <c r="I161" s="48">
        <f>ROUND($C161*'Levy Rate'!I161,0)</f>
        <v>0</v>
      </c>
      <c r="J161" s="49" t="str">
        <f>IF('Levy Rate'!J161="","",'Levy Rate'!J161)</f>
        <v/>
      </c>
      <c r="K161" s="200">
        <f>SUM(E161:I162)</f>
        <v>6343257</v>
      </c>
      <c r="L161" s="125">
        <f>ROUND($C161*'Levy Rate'!L161,0)</f>
        <v>0</v>
      </c>
      <c r="M161" s="48">
        <f>ROUND($C161*'Levy Rate'!M161,0)</f>
        <v>0</v>
      </c>
      <c r="N161" s="197">
        <f>SUM(K161:M162)</f>
        <v>7986098</v>
      </c>
      <c r="O161" s="45"/>
      <c r="P161" s="255">
        <v>723209</v>
      </c>
      <c r="Q161" s="257"/>
      <c r="R161" s="256"/>
    </row>
    <row r="162" spans="1:18" x14ac:dyDescent="0.2">
      <c r="A162" s="202"/>
      <c r="B162" s="213"/>
      <c r="C162" s="50"/>
      <c r="D162" s="50">
        <f>'Levy Rate'!D162</f>
        <v>10455949280</v>
      </c>
      <c r="E162" s="50"/>
      <c r="F162" s="50">
        <f>ROUND($D162*'Levy Rate'!F162,0)-5</f>
        <v>650000</v>
      </c>
      <c r="G162" s="50"/>
      <c r="H162" s="50"/>
      <c r="I162" s="50"/>
      <c r="J162" s="51"/>
      <c r="K162" s="202"/>
      <c r="L162" s="50">
        <f>ROUND($D162*'Levy Rate'!L162,0)+2</f>
        <v>1642841</v>
      </c>
      <c r="M162" s="50"/>
      <c r="N162" s="199"/>
      <c r="O162" s="45"/>
      <c r="P162" s="262"/>
      <c r="Q162" s="266"/>
      <c r="R162" s="263"/>
    </row>
    <row r="163" spans="1:18" x14ac:dyDescent="0.2">
      <c r="A163" s="61">
        <f>'Levy Rate'!A163</f>
        <v>422</v>
      </c>
      <c r="B163" s="62" t="str">
        <f>'Levy Rate'!B163</f>
        <v>Cascade</v>
      </c>
      <c r="C163" s="63">
        <f>'Levy Rate'!C163</f>
        <v>1588624876</v>
      </c>
      <c r="D163" s="63">
        <f>'Levy Rate'!D163</f>
        <v>0</v>
      </c>
      <c r="E163" s="64">
        <f>ROUND($C163*'Levy Rate'!E163,0)</f>
        <v>0</v>
      </c>
      <c r="F163" s="63">
        <f>ROUND($C163*'Levy Rate'!F163,0)</f>
        <v>650000</v>
      </c>
      <c r="G163" s="63">
        <f>ROUND($C163*'Levy Rate'!G163,0)</f>
        <v>0</v>
      </c>
      <c r="H163" s="63">
        <f>ROUND($C163*'Levy Rate'!H163,0)+1</f>
        <v>10306</v>
      </c>
      <c r="I163" s="63">
        <f>ROUND($C163*'Levy Rate'!I163,0)</f>
        <v>0</v>
      </c>
      <c r="J163" s="6" t="str">
        <f>IF('Levy Rate'!J163="","",'Levy Rate'!J163)</f>
        <v/>
      </c>
      <c r="K163" s="63">
        <f t="shared" si="4"/>
        <v>660306</v>
      </c>
      <c r="L163" s="63">
        <f>ROUND($C163*'Levy Rate'!L163,0)+1</f>
        <v>92805</v>
      </c>
      <c r="M163" s="63">
        <f>ROUND($C163*'Levy Rate'!M163,0)</f>
        <v>0</v>
      </c>
      <c r="N163" s="116">
        <f t="shared" si="5"/>
        <v>753111</v>
      </c>
      <c r="O163" s="45"/>
      <c r="P163" s="118">
        <v>102195</v>
      </c>
      <c r="Q163" s="63"/>
      <c r="R163" s="116"/>
    </row>
    <row r="164" spans="1:18" x14ac:dyDescent="0.2">
      <c r="A164" s="61">
        <f>'Levy Rate'!A164</f>
        <v>431</v>
      </c>
      <c r="B164" s="62" t="str">
        <f>'Levy Rate'!B164</f>
        <v>Weiser</v>
      </c>
      <c r="C164" s="63">
        <f>'Levy Rate'!C164</f>
        <v>928056020</v>
      </c>
      <c r="D164" s="63">
        <f>'Levy Rate'!D164</f>
        <v>0</v>
      </c>
      <c r="E164" s="64">
        <f>ROUND($C164*'Levy Rate'!E164,0)</f>
        <v>0</v>
      </c>
      <c r="F164" s="63">
        <f>ROUND($C164*'Levy Rate'!F164,0)</f>
        <v>0</v>
      </c>
      <c r="G164" s="63">
        <f>ROUND($C164*'Levy Rate'!G164,0)</f>
        <v>0</v>
      </c>
      <c r="H164" s="63">
        <f>ROUND($C164*'Levy Rate'!H164,0)</f>
        <v>23867</v>
      </c>
      <c r="I164" s="63">
        <f>ROUND($C164*'Levy Rate'!I164,0)</f>
        <v>153</v>
      </c>
      <c r="J164" s="6" t="str">
        <f>IF('Levy Rate'!J164="","",'Levy Rate'!J164)</f>
        <v>j</v>
      </c>
      <c r="K164" s="63">
        <f t="shared" si="4"/>
        <v>24020</v>
      </c>
      <c r="L164" s="63">
        <f>ROUND($C164*'Levy Rate'!L164,0)</f>
        <v>0</v>
      </c>
      <c r="M164" s="63">
        <f>ROUND($C164*'Levy Rate'!M164,0)</f>
        <v>277086</v>
      </c>
      <c r="N164" s="116">
        <f t="shared" si="5"/>
        <v>301106</v>
      </c>
      <c r="O164" s="45"/>
      <c r="P164" s="118"/>
      <c r="Q164" s="63">
        <v>750000</v>
      </c>
      <c r="R164" s="116">
        <v>32914</v>
      </c>
    </row>
    <row r="165" spans="1:18" x14ac:dyDescent="0.2">
      <c r="A165" s="61">
        <f>'Levy Rate'!A165</f>
        <v>432</v>
      </c>
      <c r="B165" s="62" t="str">
        <f>'Levy Rate'!B165</f>
        <v>Cambridge Joint</v>
      </c>
      <c r="C165" s="63">
        <f>'Levy Rate'!C165</f>
        <v>308691190</v>
      </c>
      <c r="D165" s="63">
        <f>'Levy Rate'!D165</f>
        <v>0</v>
      </c>
      <c r="E165" s="64">
        <f>ROUND($C165*'Levy Rate'!E165,0)</f>
        <v>0</v>
      </c>
      <c r="F165" s="63">
        <f>ROUND($C165*'Levy Rate'!F165,0)</f>
        <v>26259</v>
      </c>
      <c r="G165" s="63">
        <f>ROUND($C165*'Levy Rate'!G165,0)</f>
        <v>0</v>
      </c>
      <c r="H165" s="63">
        <f>ROUND($C165*'Levy Rate'!H165,0)</f>
        <v>1931</v>
      </c>
      <c r="I165" s="63">
        <f>ROUND($C165*'Levy Rate'!I165,0)</f>
        <v>0</v>
      </c>
      <c r="J165" s="6" t="str">
        <f>IF('Levy Rate'!J165="","",'Levy Rate'!J165)</f>
        <v/>
      </c>
      <c r="K165" s="63">
        <f t="shared" si="4"/>
        <v>28190</v>
      </c>
      <c r="L165" s="63">
        <f>ROUND($C165*'Levy Rate'!L165,0)</f>
        <v>0</v>
      </c>
      <c r="M165" s="63">
        <f>ROUND($C165*'Levy Rate'!M165,0)</f>
        <v>0</v>
      </c>
      <c r="N165" s="116">
        <f t="shared" si="5"/>
        <v>28190</v>
      </c>
      <c r="O165" s="45"/>
      <c r="P165" s="118"/>
      <c r="Q165" s="63">
        <v>73741</v>
      </c>
      <c r="R165" s="116"/>
    </row>
    <row r="166" spans="1:18" x14ac:dyDescent="0.2">
      <c r="A166" s="61">
        <f>'Levy Rate'!A166</f>
        <v>433</v>
      </c>
      <c r="B166" s="62" t="str">
        <f>'Levy Rate'!B166</f>
        <v>Midvale</v>
      </c>
      <c r="C166" s="63">
        <f>'Levy Rate'!C166</f>
        <v>206350123</v>
      </c>
      <c r="D166" s="63">
        <f>'Levy Rate'!D166</f>
        <v>0</v>
      </c>
      <c r="E166" s="64">
        <f>ROUND($C166*'Levy Rate'!E166,0)</f>
        <v>0</v>
      </c>
      <c r="F166" s="63">
        <f>ROUND($C166*'Levy Rate'!F166,0)</f>
        <v>0</v>
      </c>
      <c r="G166" s="63">
        <f>ROUND($C166*'Levy Rate'!G166,0)</f>
        <v>0</v>
      </c>
      <c r="H166" s="63">
        <f>ROUND($C166*'Levy Rate'!H166,0)</f>
        <v>8945</v>
      </c>
      <c r="I166" s="63">
        <f>ROUND($C166*'Levy Rate'!I166,0)</f>
        <v>1</v>
      </c>
      <c r="J166" s="6" t="str">
        <f>IF('Levy Rate'!J166="","",'Levy Rate'!J166)</f>
        <v>j</v>
      </c>
      <c r="K166" s="63">
        <f t="shared" si="4"/>
        <v>8946</v>
      </c>
      <c r="L166" s="63">
        <f>ROUND($C166*'Levy Rate'!L166,0)</f>
        <v>0</v>
      </c>
      <c r="M166" s="63">
        <f>ROUND($C166*'Levy Rate'!M166,0)</f>
        <v>0</v>
      </c>
      <c r="N166" s="116">
        <f t="shared" si="5"/>
        <v>8946</v>
      </c>
      <c r="O166" s="45"/>
      <c r="P166" s="119"/>
      <c r="Q166" s="16"/>
      <c r="R166" s="117"/>
    </row>
    <row r="167" spans="1:18" ht="13.5" thickBot="1" x14ac:dyDescent="0.25">
      <c r="A167" s="128"/>
      <c r="B167" s="129" t="s">
        <v>105</v>
      </c>
      <c r="C167" s="130">
        <f>'Levy Rate'!C167</f>
        <v>362554177110</v>
      </c>
      <c r="D167" s="130">
        <f t="shared" ref="D167:I167" si="6">SUM(D3:D166)</f>
        <v>417875579332</v>
      </c>
      <c r="E167" s="130">
        <f t="shared" si="6"/>
        <v>150430732</v>
      </c>
      <c r="F167" s="130">
        <f t="shared" si="6"/>
        <v>180027099</v>
      </c>
      <c r="G167" s="130">
        <f t="shared" si="6"/>
        <v>878146</v>
      </c>
      <c r="H167" s="130">
        <f t="shared" si="6"/>
        <v>4316381</v>
      </c>
      <c r="I167" s="130">
        <f t="shared" si="6"/>
        <v>3276011</v>
      </c>
      <c r="J167" s="131"/>
      <c r="K167" s="130">
        <f>SUM(K3:K166)</f>
        <v>338928369</v>
      </c>
      <c r="L167" s="130">
        <f>SUM(L3:L166)</f>
        <v>44306969</v>
      </c>
      <c r="M167" s="130">
        <f>SUM(M3:M166)</f>
        <v>56158899</v>
      </c>
      <c r="N167" s="132">
        <f>SUM(N3:N166)</f>
        <v>439394237</v>
      </c>
      <c r="O167" s="45"/>
      <c r="P167" s="133">
        <f>SUM(P3:P166)</f>
        <v>70209469</v>
      </c>
      <c r="Q167" s="132">
        <f>SUM(Q3:Q166)</f>
        <v>54241060</v>
      </c>
      <c r="R167" s="132">
        <f>SUM(R3:R166)</f>
        <v>3976197</v>
      </c>
    </row>
    <row r="168" spans="1:18" ht="13.5" thickTop="1" x14ac:dyDescent="0.2"/>
    <row r="172" spans="1:18" x14ac:dyDescent="0.2">
      <c r="A172" s="2" t="s">
        <v>224</v>
      </c>
    </row>
    <row r="173" spans="1:18" x14ac:dyDescent="0.2">
      <c r="A173" s="2" t="s">
        <v>223</v>
      </c>
    </row>
    <row r="174" spans="1:18" x14ac:dyDescent="0.2">
      <c r="A174" s="2" t="s">
        <v>222</v>
      </c>
    </row>
    <row r="175" spans="1:18" x14ac:dyDescent="0.2">
      <c r="D175" s="3"/>
      <c r="H175" s="19"/>
    </row>
    <row r="177" spans="6:6" x14ac:dyDescent="0.2">
      <c r="F177" s="3"/>
    </row>
    <row r="178" spans="6:6" x14ac:dyDescent="0.2">
      <c r="F178" s="3"/>
    </row>
    <row r="179" spans="6:6" hidden="1" x14ac:dyDescent="0.2">
      <c r="F179" s="3">
        <f>F178+100000</f>
        <v>100000</v>
      </c>
    </row>
    <row r="180" spans="6:6" hidden="1" x14ac:dyDescent="0.2"/>
  </sheetData>
  <mergeCells count="269">
    <mergeCell ref="Q149:Q151"/>
    <mergeCell ref="Q152:Q154"/>
    <mergeCell ref="Q161:Q162"/>
    <mergeCell ref="R52:R53"/>
    <mergeCell ref="Q103:Q104"/>
    <mergeCell ref="Q118:Q120"/>
    <mergeCell ref="Q121:Q122"/>
    <mergeCell ref="Q123:Q124"/>
    <mergeCell ref="Q134:Q135"/>
    <mergeCell ref="Q56:Q58"/>
    <mergeCell ref="Q62:Q63"/>
    <mergeCell ref="Q70:Q71"/>
    <mergeCell ref="Q74:Q76"/>
    <mergeCell ref="Q83:Q84"/>
    <mergeCell ref="Q86:Q87"/>
    <mergeCell ref="Q138:Q139"/>
    <mergeCell ref="Q146:Q148"/>
    <mergeCell ref="R123:R124"/>
    <mergeCell ref="P161:P162"/>
    <mergeCell ref="R161:R162"/>
    <mergeCell ref="P146:P148"/>
    <mergeCell ref="R146:R148"/>
    <mergeCell ref="P149:P151"/>
    <mergeCell ref="R149:R151"/>
    <mergeCell ref="P152:P154"/>
    <mergeCell ref="R152:R154"/>
    <mergeCell ref="P1:R1"/>
    <mergeCell ref="P134:P135"/>
    <mergeCell ref="R134:R135"/>
    <mergeCell ref="P138:P139"/>
    <mergeCell ref="R138:R139"/>
    <mergeCell ref="P121:P122"/>
    <mergeCell ref="R121:R122"/>
    <mergeCell ref="P123:P124"/>
    <mergeCell ref="Q3:Q5"/>
    <mergeCell ref="Q6:Q8"/>
    <mergeCell ref="Q14:Q15"/>
    <mergeCell ref="Q20:Q21"/>
    <mergeCell ref="Q24:Q25"/>
    <mergeCell ref="Q26:Q27"/>
    <mergeCell ref="Q31:Q32"/>
    <mergeCell ref="Q125:Q126"/>
    <mergeCell ref="P125:P126"/>
    <mergeCell ref="R125:R126"/>
    <mergeCell ref="P101:P102"/>
    <mergeCell ref="R101:R102"/>
    <mergeCell ref="P103:P104"/>
    <mergeCell ref="R103:R104"/>
    <mergeCell ref="P118:P120"/>
    <mergeCell ref="R118:R120"/>
    <mergeCell ref="Q101:Q102"/>
    <mergeCell ref="P90:P92"/>
    <mergeCell ref="R90:R92"/>
    <mergeCell ref="Q90:Q92"/>
    <mergeCell ref="P94:P95"/>
    <mergeCell ref="R94:R95"/>
    <mergeCell ref="P96:P98"/>
    <mergeCell ref="R96:R98"/>
    <mergeCell ref="P99:P100"/>
    <mergeCell ref="R99:R100"/>
    <mergeCell ref="Q94:Q95"/>
    <mergeCell ref="Q96:Q98"/>
    <mergeCell ref="Q99:Q100"/>
    <mergeCell ref="P62:P63"/>
    <mergeCell ref="R62:R63"/>
    <mergeCell ref="P70:P71"/>
    <mergeCell ref="R70:R71"/>
    <mergeCell ref="P74:P76"/>
    <mergeCell ref="R74:R76"/>
    <mergeCell ref="P83:P84"/>
    <mergeCell ref="R83:R84"/>
    <mergeCell ref="P86:P87"/>
    <mergeCell ref="R86:R87"/>
    <mergeCell ref="P47:P48"/>
    <mergeCell ref="R47:R48"/>
    <mergeCell ref="P50:P51"/>
    <mergeCell ref="R50:R51"/>
    <mergeCell ref="P52:P53"/>
    <mergeCell ref="P56:P58"/>
    <mergeCell ref="R56:R58"/>
    <mergeCell ref="Q47:Q48"/>
    <mergeCell ref="Q50:Q51"/>
    <mergeCell ref="Q52:Q53"/>
    <mergeCell ref="P38:P39"/>
    <mergeCell ref="R38:R39"/>
    <mergeCell ref="P40:P41"/>
    <mergeCell ref="R40:R41"/>
    <mergeCell ref="P44:P46"/>
    <mergeCell ref="R44:R46"/>
    <mergeCell ref="Q38:Q39"/>
    <mergeCell ref="Q40:Q41"/>
    <mergeCell ref="Q44:Q46"/>
    <mergeCell ref="P26:P27"/>
    <mergeCell ref="R26:R27"/>
    <mergeCell ref="P31:P32"/>
    <mergeCell ref="R31:R32"/>
    <mergeCell ref="P33:P34"/>
    <mergeCell ref="R33:R34"/>
    <mergeCell ref="P35:P36"/>
    <mergeCell ref="R35:R36"/>
    <mergeCell ref="Q33:Q34"/>
    <mergeCell ref="Q35:Q36"/>
    <mergeCell ref="P3:P5"/>
    <mergeCell ref="R3:R5"/>
    <mergeCell ref="P6:P8"/>
    <mergeCell ref="R6:R8"/>
    <mergeCell ref="P9:P10"/>
    <mergeCell ref="R9:R10"/>
    <mergeCell ref="Q9:Q10"/>
    <mergeCell ref="P20:P21"/>
    <mergeCell ref="R20:R21"/>
    <mergeCell ref="P14:P15"/>
    <mergeCell ref="R14:R15"/>
    <mergeCell ref="K9:K10"/>
    <mergeCell ref="N9:N10"/>
    <mergeCell ref="A24:A25"/>
    <mergeCell ref="B24:B25"/>
    <mergeCell ref="K24:K25"/>
    <mergeCell ref="N24:N25"/>
    <mergeCell ref="B9:B10"/>
    <mergeCell ref="A9:A10"/>
    <mergeCell ref="P24:P25"/>
    <mergeCell ref="A20:A21"/>
    <mergeCell ref="B20:B21"/>
    <mergeCell ref="R24:R25"/>
    <mergeCell ref="K118:K120"/>
    <mergeCell ref="N118:N120"/>
    <mergeCell ref="A90:A92"/>
    <mergeCell ref="B90:B92"/>
    <mergeCell ref="A99:A100"/>
    <mergeCell ref="B99:B100"/>
    <mergeCell ref="A101:A102"/>
    <mergeCell ref="B101:B102"/>
    <mergeCell ref="K99:K100"/>
    <mergeCell ref="N99:N100"/>
    <mergeCell ref="A103:A104"/>
    <mergeCell ref="B103:B104"/>
    <mergeCell ref="K62:K63"/>
    <mergeCell ref="N62:N63"/>
    <mergeCell ref="K70:K71"/>
    <mergeCell ref="N70:N71"/>
    <mergeCell ref="K101:K102"/>
    <mergeCell ref="N101:N102"/>
    <mergeCell ref="K103:K104"/>
    <mergeCell ref="N103:N104"/>
    <mergeCell ref="A94:A95"/>
    <mergeCell ref="B94:B95"/>
    <mergeCell ref="A56:A58"/>
    <mergeCell ref="A161:A162"/>
    <mergeCell ref="B161:B162"/>
    <mergeCell ref="A121:A122"/>
    <mergeCell ref="B121:B122"/>
    <mergeCell ref="K121:K122"/>
    <mergeCell ref="N121:N122"/>
    <mergeCell ref="A125:A126"/>
    <mergeCell ref="B125:B126"/>
    <mergeCell ref="A134:A135"/>
    <mergeCell ref="B134:B135"/>
    <mergeCell ref="K161:K162"/>
    <mergeCell ref="N161:N162"/>
    <mergeCell ref="N134:N135"/>
    <mergeCell ref="K134:K135"/>
    <mergeCell ref="K149:K151"/>
    <mergeCell ref="N149:N151"/>
    <mergeCell ref="B56:B58"/>
    <mergeCell ref="K56:K58"/>
    <mergeCell ref="N56:N58"/>
    <mergeCell ref="K35:K36"/>
    <mergeCell ref="N35:N36"/>
    <mergeCell ref="A35:A36"/>
    <mergeCell ref="B35:B36"/>
    <mergeCell ref="A38:A39"/>
    <mergeCell ref="B38:B39"/>
    <mergeCell ref="K47:K48"/>
    <mergeCell ref="N47:N48"/>
    <mergeCell ref="K50:K51"/>
    <mergeCell ref="N50:N51"/>
    <mergeCell ref="A50:A51"/>
    <mergeCell ref="B50:B51"/>
    <mergeCell ref="K38:K39"/>
    <mergeCell ref="N38:N39"/>
    <mergeCell ref="K40:K41"/>
    <mergeCell ref="N40:N41"/>
    <mergeCell ref="A40:A41"/>
    <mergeCell ref="B40:B41"/>
    <mergeCell ref="A31:A32"/>
    <mergeCell ref="B31:B32"/>
    <mergeCell ref="K31:K32"/>
    <mergeCell ref="N31:N32"/>
    <mergeCell ref="A2:B2"/>
    <mergeCell ref="I2:J2"/>
    <mergeCell ref="N3:N5"/>
    <mergeCell ref="K3:K5"/>
    <mergeCell ref="B3:B5"/>
    <mergeCell ref="A3:A5"/>
    <mergeCell ref="K14:K15"/>
    <mergeCell ref="N14:N15"/>
    <mergeCell ref="A6:A8"/>
    <mergeCell ref="B6:B8"/>
    <mergeCell ref="K6:K8"/>
    <mergeCell ref="N6:N8"/>
    <mergeCell ref="A26:A27"/>
    <mergeCell ref="B26:B27"/>
    <mergeCell ref="A14:A15"/>
    <mergeCell ref="B14:B15"/>
    <mergeCell ref="K20:K21"/>
    <mergeCell ref="N20:N21"/>
    <mergeCell ref="K26:K27"/>
    <mergeCell ref="N26:N27"/>
    <mergeCell ref="A33:A34"/>
    <mergeCell ref="B33:B34"/>
    <mergeCell ref="K33:K34"/>
    <mergeCell ref="N33:N34"/>
    <mergeCell ref="A152:A154"/>
    <mergeCell ref="B152:B154"/>
    <mergeCell ref="K152:K154"/>
    <mergeCell ref="N152:N154"/>
    <mergeCell ref="A149:A151"/>
    <mergeCell ref="B149:B151"/>
    <mergeCell ref="A123:A124"/>
    <mergeCell ref="B123:B124"/>
    <mergeCell ref="K123:K124"/>
    <mergeCell ref="N123:N124"/>
    <mergeCell ref="K125:K126"/>
    <mergeCell ref="N125:N126"/>
    <mergeCell ref="A138:A139"/>
    <mergeCell ref="B138:B139"/>
    <mergeCell ref="A146:A148"/>
    <mergeCell ref="B146:B148"/>
    <mergeCell ref="K146:K148"/>
    <mergeCell ref="N146:N148"/>
    <mergeCell ref="K138:K139"/>
    <mergeCell ref="N138:N139"/>
    <mergeCell ref="B118:B120"/>
    <mergeCell ref="A118:A120"/>
    <mergeCell ref="K44:K46"/>
    <mergeCell ref="N44:N46"/>
    <mergeCell ref="B44:B46"/>
    <mergeCell ref="A44:A46"/>
    <mergeCell ref="K94:K95"/>
    <mergeCell ref="N94:N95"/>
    <mergeCell ref="K83:K84"/>
    <mergeCell ref="N83:N84"/>
    <mergeCell ref="A52:A53"/>
    <mergeCell ref="B52:B53"/>
    <mergeCell ref="K52:K53"/>
    <mergeCell ref="N52:N53"/>
    <mergeCell ref="A47:A48"/>
    <mergeCell ref="B47:B48"/>
    <mergeCell ref="K96:K98"/>
    <mergeCell ref="N96:N98"/>
    <mergeCell ref="A96:A98"/>
    <mergeCell ref="B96:B98"/>
    <mergeCell ref="B62:B63"/>
    <mergeCell ref="A62:A63"/>
    <mergeCell ref="A70:A71"/>
    <mergeCell ref="B70:B71"/>
    <mergeCell ref="A83:A84"/>
    <mergeCell ref="B83:B84"/>
    <mergeCell ref="N90:N92"/>
    <mergeCell ref="K90:K92"/>
    <mergeCell ref="A86:A87"/>
    <mergeCell ref="B86:B87"/>
    <mergeCell ref="K74:K76"/>
    <mergeCell ref="N74:N76"/>
    <mergeCell ref="A74:A76"/>
    <mergeCell ref="B74:B76"/>
    <mergeCell ref="K86:K87"/>
    <mergeCell ref="N86:N87"/>
  </mergeCells>
  <phoneticPr fontId="0" type="noConversion"/>
  <printOptions horizontalCentered="1" gridLines="1"/>
  <pageMargins left="0" right="0" top="1" bottom="0.5" header="0.4" footer="0.25"/>
  <pageSetup paperSize="5" scale="70" fitToHeight="0" orientation="landscape" blackAndWhite="1" r:id="rId1"/>
  <headerFooter alignWithMargins="0">
    <oddHeader>&amp;C&amp;12TAX LEVIES FOR SCHOOL PURPOSES
As Certified by Boards of County Commissioners
for School Year 2024-2025
&amp;RIdaho Department of Education</oddHeader>
  </headerFooter>
  <rowBreaks count="3" manualBreakCount="3">
    <brk id="51" max="16383" man="1"/>
    <brk id="102" max="16383" man="1"/>
    <brk id="1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36ED-4BF1-4920-A2C4-66BF4C2F1393}">
  <dimension ref="A1:D230"/>
  <sheetViews>
    <sheetView tabSelected="1" topLeftCell="A107" zoomScaleNormal="100" workbookViewId="0">
      <selection activeCell="I219" sqref="I219"/>
    </sheetView>
  </sheetViews>
  <sheetFormatPr defaultRowHeight="12.75" x14ac:dyDescent="0.2"/>
  <cols>
    <col min="1" max="1" width="15.85546875" customWidth="1"/>
    <col min="2" max="2" width="10.28515625" customWidth="1"/>
    <col min="3" max="3" width="30.85546875" customWidth="1"/>
    <col min="4" max="4" width="19.140625" customWidth="1"/>
    <col min="8" max="8" width="13.85546875" bestFit="1" customWidth="1"/>
    <col min="9" max="9" width="18" customWidth="1"/>
  </cols>
  <sheetData>
    <row r="1" spans="1:4" ht="14.25" x14ac:dyDescent="0.2">
      <c r="A1" s="23" t="s">
        <v>132</v>
      </c>
      <c r="C1" s="140" t="s">
        <v>133</v>
      </c>
      <c r="D1" s="140" t="s">
        <v>133</v>
      </c>
    </row>
    <row r="2" spans="1:4" ht="15" thickBot="1" x14ac:dyDescent="0.25">
      <c r="A2" s="24" t="s">
        <v>134</v>
      </c>
      <c r="B2" s="24" t="s">
        <v>135</v>
      </c>
      <c r="C2" s="24" t="s">
        <v>136</v>
      </c>
      <c r="D2" s="24" t="s">
        <v>137</v>
      </c>
    </row>
    <row r="3" spans="1:4" ht="14.25" x14ac:dyDescent="0.2">
      <c r="A3" s="25" t="s">
        <v>138</v>
      </c>
      <c r="B3" s="26" t="s">
        <v>139</v>
      </c>
      <c r="C3" s="25" t="s">
        <v>46</v>
      </c>
      <c r="D3" s="27">
        <v>45050349994</v>
      </c>
    </row>
    <row r="4" spans="1:4" ht="14.25" x14ac:dyDescent="0.2">
      <c r="A4" s="141" t="s">
        <v>133</v>
      </c>
      <c r="B4" s="29" t="s">
        <v>140</v>
      </c>
      <c r="C4" s="25" t="s">
        <v>141</v>
      </c>
      <c r="D4" s="27">
        <v>53881449588</v>
      </c>
    </row>
    <row r="5" spans="1:4" ht="14.25" x14ac:dyDescent="0.2">
      <c r="A5" s="141" t="s">
        <v>133</v>
      </c>
      <c r="B5" s="29" t="s">
        <v>142</v>
      </c>
      <c r="C5" s="25" t="s">
        <v>47</v>
      </c>
      <c r="D5" s="27">
        <v>4977462136</v>
      </c>
    </row>
    <row r="6" spans="1:4" ht="14.25" x14ac:dyDescent="0.2">
      <c r="A6" s="141" t="s">
        <v>133</v>
      </c>
      <c r="B6" s="30">
        <v>136</v>
      </c>
      <c r="C6" s="25" t="s">
        <v>57</v>
      </c>
      <c r="D6" s="27">
        <v>60360673</v>
      </c>
    </row>
    <row r="7" spans="1:4" ht="14.25" x14ac:dyDescent="0.2">
      <c r="A7" s="28"/>
      <c r="B7" s="30"/>
      <c r="C7" s="25"/>
      <c r="D7" s="27"/>
    </row>
    <row r="8" spans="1:4" ht="14.25" x14ac:dyDescent="0.2">
      <c r="A8" s="25" t="s">
        <v>143</v>
      </c>
      <c r="B8" s="29" t="s">
        <v>144</v>
      </c>
      <c r="C8" s="25" t="s">
        <v>0</v>
      </c>
      <c r="D8" s="27">
        <v>739563337</v>
      </c>
    </row>
    <row r="9" spans="1:4" ht="14.25" x14ac:dyDescent="0.2">
      <c r="A9" s="141" t="s">
        <v>133</v>
      </c>
      <c r="B9" s="29" t="s">
        <v>145</v>
      </c>
      <c r="C9" s="25" t="s">
        <v>1</v>
      </c>
      <c r="D9" s="27">
        <v>478060242</v>
      </c>
    </row>
    <row r="10" spans="1:4" ht="14.25" x14ac:dyDescent="0.2">
      <c r="A10" s="141" t="s">
        <v>133</v>
      </c>
      <c r="B10" s="29">
        <v>243</v>
      </c>
      <c r="C10" s="25" t="s">
        <v>109</v>
      </c>
      <c r="D10" s="27">
        <v>25353740</v>
      </c>
    </row>
    <row r="11" spans="1:4" ht="14.25" x14ac:dyDescent="0.2">
      <c r="A11" s="141" t="s">
        <v>133</v>
      </c>
      <c r="B11" s="29">
        <v>421</v>
      </c>
      <c r="C11" s="25" t="s">
        <v>99</v>
      </c>
      <c r="D11" s="27">
        <v>84097791</v>
      </c>
    </row>
    <row r="12" spans="1:4" ht="14.25" x14ac:dyDescent="0.2">
      <c r="A12" s="141" t="s">
        <v>133</v>
      </c>
      <c r="B12" s="29">
        <v>432</v>
      </c>
      <c r="C12" s="25" t="s">
        <v>100</v>
      </c>
      <c r="D12" s="27">
        <v>72085369</v>
      </c>
    </row>
    <row r="13" spans="1:4" ht="14.25" x14ac:dyDescent="0.2">
      <c r="A13" s="28"/>
      <c r="B13" s="29"/>
      <c r="C13" s="25"/>
      <c r="D13" s="27"/>
    </row>
    <row r="14" spans="1:4" ht="14.25" x14ac:dyDescent="0.2">
      <c r="A14" s="25" t="s">
        <v>146</v>
      </c>
      <c r="B14" s="29" t="s">
        <v>147</v>
      </c>
      <c r="C14" s="25" t="s">
        <v>48</v>
      </c>
      <c r="D14" s="27">
        <v>1412259868</v>
      </c>
    </row>
    <row r="15" spans="1:4" ht="14.25" x14ac:dyDescent="0.2">
      <c r="A15" s="141" t="s">
        <v>133</v>
      </c>
      <c r="B15" s="29" t="s">
        <v>148</v>
      </c>
      <c r="C15" s="25" t="s">
        <v>2</v>
      </c>
      <c r="D15" s="27">
        <v>7464739555</v>
      </c>
    </row>
    <row r="16" spans="1:4" ht="14.25" x14ac:dyDescent="0.2">
      <c r="A16" s="141" t="s">
        <v>133</v>
      </c>
      <c r="B16" s="29">
        <v>148</v>
      </c>
      <c r="C16" s="25" t="s">
        <v>58</v>
      </c>
      <c r="D16" s="27">
        <v>308447</v>
      </c>
    </row>
    <row r="17" spans="1:4" ht="14.25" x14ac:dyDescent="0.2">
      <c r="A17" s="141" t="s">
        <v>133</v>
      </c>
      <c r="B17" s="29">
        <v>201</v>
      </c>
      <c r="C17" s="25" t="s">
        <v>67</v>
      </c>
      <c r="D17" s="27">
        <v>523297</v>
      </c>
    </row>
    <row r="18" spans="1:4" ht="14.25" x14ac:dyDescent="0.2">
      <c r="A18" s="141" t="s">
        <v>133</v>
      </c>
      <c r="B18" s="29">
        <v>202</v>
      </c>
      <c r="C18" s="25" t="s">
        <v>68</v>
      </c>
      <c r="D18" s="27">
        <v>7521910</v>
      </c>
    </row>
    <row r="19" spans="1:4" ht="14.25" x14ac:dyDescent="0.2">
      <c r="A19" s="28"/>
      <c r="B19" s="29"/>
      <c r="C19" s="25"/>
      <c r="D19" s="27"/>
    </row>
    <row r="20" spans="1:4" ht="14.25" x14ac:dyDescent="0.2">
      <c r="A20" s="25" t="s">
        <v>149</v>
      </c>
      <c r="B20" s="29" t="s">
        <v>150</v>
      </c>
      <c r="C20" s="25" t="s">
        <v>49</v>
      </c>
      <c r="D20" s="27">
        <v>2221511117</v>
      </c>
    </row>
    <row r="21" spans="1:4" ht="14.25" x14ac:dyDescent="0.2">
      <c r="A21" s="141" t="s">
        <v>133</v>
      </c>
      <c r="B21" s="29">
        <v>150</v>
      </c>
      <c r="C21" s="25" t="s">
        <v>59</v>
      </c>
      <c r="D21" s="27">
        <v>44014842</v>
      </c>
    </row>
    <row r="22" spans="1:4" ht="14.25" x14ac:dyDescent="0.2">
      <c r="A22" s="28"/>
      <c r="B22" s="29"/>
      <c r="C22" s="25"/>
      <c r="D22" s="27"/>
    </row>
    <row r="23" spans="1:4" ht="14.25" x14ac:dyDescent="0.2">
      <c r="A23" s="25" t="s">
        <v>151</v>
      </c>
      <c r="B23" s="29" t="s">
        <v>152</v>
      </c>
      <c r="C23" s="25" t="s">
        <v>50</v>
      </c>
      <c r="D23" s="27">
        <v>1080339854</v>
      </c>
    </row>
    <row r="24" spans="1:4" ht="14.25" x14ac:dyDescent="0.2">
      <c r="A24" s="141" t="s">
        <v>133</v>
      </c>
      <c r="B24" s="29" t="s">
        <v>153</v>
      </c>
      <c r="C24" s="25" t="s">
        <v>154</v>
      </c>
      <c r="D24" s="27">
        <v>357081349</v>
      </c>
    </row>
    <row r="25" spans="1:4" ht="14.25" x14ac:dyDescent="0.2">
      <c r="A25" s="141" t="s">
        <v>133</v>
      </c>
      <c r="B25" s="29">
        <v>274</v>
      </c>
      <c r="C25" s="25" t="s">
        <v>78</v>
      </c>
      <c r="D25" s="27">
        <v>7533087</v>
      </c>
    </row>
    <row r="26" spans="1:4" ht="14.25" x14ac:dyDescent="0.2">
      <c r="A26" s="28"/>
      <c r="B26" s="29"/>
      <c r="C26" s="25"/>
      <c r="D26" s="27"/>
    </row>
    <row r="27" spans="1:4" ht="14.25" x14ac:dyDescent="0.2">
      <c r="A27" s="25" t="s">
        <v>155</v>
      </c>
      <c r="B27" s="29" t="s">
        <v>156</v>
      </c>
      <c r="C27" s="25" t="s">
        <v>3</v>
      </c>
      <c r="D27" s="27">
        <v>915157628</v>
      </c>
    </row>
    <row r="28" spans="1:4" ht="14.25" x14ac:dyDescent="0.2">
      <c r="A28" s="141" t="s">
        <v>133</v>
      </c>
      <c r="B28" s="29" t="s">
        <v>157</v>
      </c>
      <c r="C28" s="25" t="s">
        <v>4</v>
      </c>
      <c r="D28" s="27">
        <v>1685032965</v>
      </c>
    </row>
    <row r="29" spans="1:4" ht="14.25" x14ac:dyDescent="0.2">
      <c r="A29" s="141" t="s">
        <v>133</v>
      </c>
      <c r="B29" s="29" t="s">
        <v>158</v>
      </c>
      <c r="C29" s="25" t="s">
        <v>5</v>
      </c>
      <c r="D29" s="27">
        <v>403099853</v>
      </c>
    </row>
    <row r="30" spans="1:4" ht="14.25" x14ac:dyDescent="0.2">
      <c r="A30" s="141" t="s">
        <v>133</v>
      </c>
      <c r="B30" s="29" t="s">
        <v>159</v>
      </c>
      <c r="C30" s="25" t="s">
        <v>6</v>
      </c>
      <c r="D30" s="27">
        <v>410724293</v>
      </c>
    </row>
    <row r="31" spans="1:4" ht="14.25" x14ac:dyDescent="0.2">
      <c r="A31" s="141" t="s">
        <v>133</v>
      </c>
      <c r="B31" s="29" t="s">
        <v>160</v>
      </c>
      <c r="C31" s="25" t="s">
        <v>51</v>
      </c>
      <c r="D31" s="27">
        <v>970877141</v>
      </c>
    </row>
    <row r="32" spans="1:4" ht="14.25" x14ac:dyDescent="0.2">
      <c r="A32" s="141" t="s">
        <v>133</v>
      </c>
      <c r="B32" s="29" t="s">
        <v>161</v>
      </c>
      <c r="C32" s="25" t="s">
        <v>54</v>
      </c>
      <c r="D32" s="27">
        <v>3781358</v>
      </c>
    </row>
    <row r="33" spans="1:4" ht="14.25" x14ac:dyDescent="0.2">
      <c r="A33" s="28"/>
      <c r="B33" s="29"/>
      <c r="C33" s="25"/>
      <c r="D33" s="27"/>
    </row>
    <row r="34" spans="1:4" ht="14.25" x14ac:dyDescent="0.2">
      <c r="A34" s="25" t="s">
        <v>162</v>
      </c>
      <c r="B34" s="29" t="s">
        <v>163</v>
      </c>
      <c r="C34" s="25" t="s">
        <v>52</v>
      </c>
      <c r="D34" s="27">
        <v>22489472043</v>
      </c>
    </row>
    <row r="35" spans="1:4" ht="14.25" x14ac:dyDescent="0.2">
      <c r="A35" s="25"/>
      <c r="B35" s="29"/>
      <c r="C35" s="25"/>
      <c r="D35" s="27"/>
    </row>
    <row r="36" spans="1:4" ht="14.25" x14ac:dyDescent="0.2">
      <c r="A36" s="25" t="s">
        <v>164</v>
      </c>
      <c r="B36" s="26" t="s">
        <v>139</v>
      </c>
      <c r="C36" s="25" t="s">
        <v>46</v>
      </c>
      <c r="D36" s="27">
        <v>916685</v>
      </c>
    </row>
    <row r="37" spans="1:4" ht="14.25" x14ac:dyDescent="0.2">
      <c r="A37" s="141" t="s">
        <v>133</v>
      </c>
      <c r="B37" s="26" t="s">
        <v>165</v>
      </c>
      <c r="C37" s="25" t="s">
        <v>7</v>
      </c>
      <c r="D37" s="27">
        <v>1417057789</v>
      </c>
    </row>
    <row r="38" spans="1:4" ht="14.25" x14ac:dyDescent="0.2">
      <c r="A38" s="141" t="s">
        <v>133</v>
      </c>
      <c r="B38" s="26" t="s">
        <v>166</v>
      </c>
      <c r="C38" s="25" t="s">
        <v>8</v>
      </c>
      <c r="D38" s="27">
        <v>1029605847</v>
      </c>
    </row>
    <row r="39" spans="1:4" ht="14.25" x14ac:dyDescent="0.2">
      <c r="A39" s="141" t="s">
        <v>133</v>
      </c>
      <c r="B39" s="26" t="s">
        <v>167</v>
      </c>
      <c r="C39" s="25" t="s">
        <v>45</v>
      </c>
      <c r="D39" s="27">
        <v>455048437</v>
      </c>
    </row>
    <row r="40" spans="1:4" ht="14.25" x14ac:dyDescent="0.2">
      <c r="A40" s="141" t="s">
        <v>133</v>
      </c>
      <c r="B40" s="26">
        <v>221</v>
      </c>
      <c r="C40" s="25" t="s">
        <v>70</v>
      </c>
      <c r="D40" s="27">
        <v>308342</v>
      </c>
    </row>
    <row r="41" spans="1:4" ht="14.25" x14ac:dyDescent="0.2">
      <c r="A41" s="28"/>
      <c r="B41" s="26"/>
      <c r="C41" s="25"/>
      <c r="D41" s="27"/>
    </row>
    <row r="42" spans="1:4" ht="14.25" x14ac:dyDescent="0.2">
      <c r="A42" s="25" t="s">
        <v>168</v>
      </c>
      <c r="B42" s="26" t="s">
        <v>169</v>
      </c>
      <c r="C42" s="25" t="s">
        <v>53</v>
      </c>
      <c r="D42" s="27">
        <v>5421384045</v>
      </c>
    </row>
    <row r="43" spans="1:4" ht="14.25" x14ac:dyDescent="0.2">
      <c r="A43" s="141" t="s">
        <v>133</v>
      </c>
      <c r="B43" s="26" t="s">
        <v>170</v>
      </c>
      <c r="C43" s="25" t="s">
        <v>43</v>
      </c>
      <c r="D43" s="27">
        <v>13279916404</v>
      </c>
    </row>
    <row r="44" spans="1:4" ht="14.25" x14ac:dyDescent="0.2">
      <c r="A44" s="141" t="s">
        <v>133</v>
      </c>
      <c r="B44" s="30">
        <v>272</v>
      </c>
      <c r="C44" s="25" t="s">
        <v>171</v>
      </c>
      <c r="D44" s="27">
        <v>44765571</v>
      </c>
    </row>
    <row r="45" spans="1:4" ht="14.25" x14ac:dyDescent="0.2">
      <c r="A45" s="28"/>
      <c r="B45" s="30"/>
      <c r="C45" s="25"/>
      <c r="D45" s="27"/>
    </row>
    <row r="46" spans="1:4" ht="14.25" x14ac:dyDescent="0.2">
      <c r="A46" s="25" t="s">
        <v>172</v>
      </c>
      <c r="B46" s="26" t="s">
        <v>160</v>
      </c>
      <c r="C46" s="25" t="s">
        <v>51</v>
      </c>
      <c r="D46" s="27">
        <v>379983795</v>
      </c>
    </row>
    <row r="47" spans="1:4" ht="14.25" x14ac:dyDescent="0.2">
      <c r="A47" s="141" t="s">
        <v>133</v>
      </c>
      <c r="B47" s="26" t="s">
        <v>173</v>
      </c>
      <c r="C47" s="25" t="s">
        <v>9</v>
      </c>
      <c r="D47" s="27">
        <v>7969999030</v>
      </c>
    </row>
    <row r="48" spans="1:4" ht="14.25" x14ac:dyDescent="0.2">
      <c r="A48" s="141" t="s">
        <v>133</v>
      </c>
      <c r="B48" s="26" t="s">
        <v>174</v>
      </c>
      <c r="C48" s="25" t="s">
        <v>175</v>
      </c>
      <c r="D48" s="27">
        <v>506108824</v>
      </c>
    </row>
    <row r="49" spans="1:4" ht="14.25" x14ac:dyDescent="0.2">
      <c r="A49" s="141" t="s">
        <v>133</v>
      </c>
      <c r="B49" s="26" t="s">
        <v>161</v>
      </c>
      <c r="C49" s="25" t="s">
        <v>176</v>
      </c>
      <c r="D49" s="27">
        <v>7413278865</v>
      </c>
    </row>
    <row r="50" spans="1:4" ht="14.25" x14ac:dyDescent="0.2">
      <c r="A50" s="141" t="s">
        <v>133</v>
      </c>
      <c r="B50" s="26">
        <v>150</v>
      </c>
      <c r="C50" s="25" t="s">
        <v>59</v>
      </c>
      <c r="D50" s="27">
        <v>10526209</v>
      </c>
    </row>
    <row r="51" spans="1:4" ht="14.25" x14ac:dyDescent="0.2">
      <c r="A51" s="141" t="s">
        <v>133</v>
      </c>
      <c r="B51" s="26">
        <v>252</v>
      </c>
      <c r="C51" s="25" t="s">
        <v>75</v>
      </c>
      <c r="D51" s="27">
        <v>140658994</v>
      </c>
    </row>
    <row r="52" spans="1:4" ht="14.25" x14ac:dyDescent="0.2">
      <c r="A52" s="28"/>
      <c r="B52" s="26"/>
      <c r="C52" s="25"/>
      <c r="D52" s="27"/>
    </row>
    <row r="53" spans="1:4" ht="14.25" x14ac:dyDescent="0.2">
      <c r="A53" s="25" t="s">
        <v>177</v>
      </c>
      <c r="B53" s="31">
        <v>101</v>
      </c>
      <c r="C53" s="25" t="s">
        <v>55</v>
      </c>
      <c r="D53" s="27">
        <v>2462279135</v>
      </c>
    </row>
    <row r="54" spans="1:4" ht="14.25" x14ac:dyDescent="0.2">
      <c r="A54" s="25"/>
      <c r="B54" s="31"/>
      <c r="C54" s="25"/>
      <c r="D54" s="27"/>
    </row>
    <row r="55" spans="1:4" ht="14.25" x14ac:dyDescent="0.2">
      <c r="A55" s="25" t="s">
        <v>178</v>
      </c>
      <c r="B55" s="31">
        <v>111</v>
      </c>
      <c r="C55" s="25" t="s">
        <v>106</v>
      </c>
      <c r="D55" s="38">
        <v>250308251</v>
      </c>
    </row>
    <row r="56" spans="1:4" ht="14.25" x14ac:dyDescent="0.2">
      <c r="A56" s="141" t="s">
        <v>133</v>
      </c>
      <c r="B56" s="31">
        <v>182</v>
      </c>
      <c r="C56" s="25" t="s">
        <v>64</v>
      </c>
      <c r="D56" s="27">
        <v>11312659</v>
      </c>
    </row>
    <row r="57" spans="1:4" ht="14.25" x14ac:dyDescent="0.2">
      <c r="A57" s="28"/>
      <c r="B57" s="31"/>
      <c r="C57" s="25"/>
      <c r="D57" s="27"/>
    </row>
    <row r="58" spans="1:4" ht="14.25" x14ac:dyDescent="0.2">
      <c r="A58" s="25" t="s">
        <v>179</v>
      </c>
      <c r="B58" s="31">
        <v>121</v>
      </c>
      <c r="C58" s="25" t="s">
        <v>56</v>
      </c>
      <c r="D58" s="27">
        <v>301094024</v>
      </c>
    </row>
    <row r="59" spans="1:4" ht="14.25" x14ac:dyDescent="0.2">
      <c r="A59" s="25"/>
      <c r="B59" s="31"/>
      <c r="C59" s="25"/>
      <c r="D59" s="27"/>
    </row>
    <row r="60" spans="1:4" ht="14.25" x14ac:dyDescent="0.2">
      <c r="A60" s="25" t="s">
        <v>180</v>
      </c>
      <c r="B60" s="26" t="s">
        <v>140</v>
      </c>
      <c r="C60" s="25" t="s">
        <v>141</v>
      </c>
      <c r="D60" s="27">
        <v>505709736</v>
      </c>
    </row>
    <row r="61" spans="1:4" ht="14.25" x14ac:dyDescent="0.2">
      <c r="A61" s="141" t="s">
        <v>133</v>
      </c>
      <c r="B61" s="26" t="s">
        <v>142</v>
      </c>
      <c r="C61" s="25" t="s">
        <v>47</v>
      </c>
      <c r="D61" s="27">
        <v>639778905</v>
      </c>
    </row>
    <row r="62" spans="1:4" ht="14.25" x14ac:dyDescent="0.2">
      <c r="A62" s="141" t="s">
        <v>133</v>
      </c>
      <c r="B62" s="31">
        <v>131</v>
      </c>
      <c r="C62" s="25" t="s">
        <v>10</v>
      </c>
      <c r="D62" s="27">
        <v>14473314165</v>
      </c>
    </row>
    <row r="63" spans="1:4" ht="14.25" x14ac:dyDescent="0.2">
      <c r="A63" s="141" t="s">
        <v>133</v>
      </c>
      <c r="B63" s="31">
        <v>132</v>
      </c>
      <c r="C63" s="25" t="s">
        <v>11</v>
      </c>
      <c r="D63" s="27">
        <v>5396226168</v>
      </c>
    </row>
    <row r="64" spans="1:4" ht="14.25" x14ac:dyDescent="0.2">
      <c r="A64" s="141" t="s">
        <v>133</v>
      </c>
      <c r="B64" s="31">
        <v>133</v>
      </c>
      <c r="C64" s="25" t="s">
        <v>12</v>
      </c>
      <c r="D64" s="27">
        <v>601169965</v>
      </c>
    </row>
    <row r="65" spans="1:4" ht="14.25" x14ac:dyDescent="0.2">
      <c r="A65" s="141" t="s">
        <v>133</v>
      </c>
      <c r="B65" s="31">
        <v>134</v>
      </c>
      <c r="C65" s="25" t="s">
        <v>13</v>
      </c>
      <c r="D65" s="27">
        <v>4187199822</v>
      </c>
    </row>
    <row r="66" spans="1:4" ht="14.25" x14ac:dyDescent="0.2">
      <c r="A66" s="141" t="s">
        <v>133</v>
      </c>
      <c r="B66" s="31">
        <v>135</v>
      </c>
      <c r="C66" s="25" t="s">
        <v>14</v>
      </c>
      <c r="D66" s="27">
        <v>324281011</v>
      </c>
    </row>
    <row r="67" spans="1:4" ht="14.25" x14ac:dyDescent="0.2">
      <c r="A67" s="141" t="s">
        <v>133</v>
      </c>
      <c r="B67" s="31">
        <v>136</v>
      </c>
      <c r="C67" s="25" t="s">
        <v>57</v>
      </c>
      <c r="D67" s="27">
        <v>437304040</v>
      </c>
    </row>
    <row r="68" spans="1:4" ht="14.25" x14ac:dyDescent="0.2">
      <c r="A68" s="141" t="s">
        <v>133</v>
      </c>
      <c r="B68" s="31">
        <v>137</v>
      </c>
      <c r="C68" s="25" t="s">
        <v>15</v>
      </c>
      <c r="D68" s="27">
        <v>917523151</v>
      </c>
    </row>
    <row r="69" spans="1:4" ht="14.25" x14ac:dyDescent="0.2">
      <c r="A69" s="141" t="s">
        <v>133</v>
      </c>
      <c r="B69" s="31">
        <v>139</v>
      </c>
      <c r="C69" s="25" t="s">
        <v>16</v>
      </c>
      <c r="D69" s="27">
        <v>9903624100</v>
      </c>
    </row>
    <row r="70" spans="1:4" ht="14.25" x14ac:dyDescent="0.2">
      <c r="A70" s="141" t="s">
        <v>133</v>
      </c>
      <c r="B70" s="30">
        <v>363</v>
      </c>
      <c r="C70" s="25" t="s">
        <v>90</v>
      </c>
      <c r="D70" s="27">
        <v>104596887</v>
      </c>
    </row>
    <row r="71" spans="1:4" ht="14.25" x14ac:dyDescent="0.2">
      <c r="A71" s="141" t="s">
        <v>133</v>
      </c>
      <c r="B71" s="30">
        <v>370</v>
      </c>
      <c r="C71" s="25" t="s">
        <v>91</v>
      </c>
      <c r="D71" s="27">
        <v>319540315</v>
      </c>
    </row>
    <row r="72" spans="1:4" ht="14.25" x14ac:dyDescent="0.2">
      <c r="A72" s="28"/>
      <c r="B72" s="30"/>
      <c r="C72" s="25"/>
      <c r="D72" s="27"/>
    </row>
    <row r="73" spans="1:4" ht="14.25" x14ac:dyDescent="0.2">
      <c r="A73" s="25" t="s">
        <v>181</v>
      </c>
      <c r="B73" s="29" t="s">
        <v>147</v>
      </c>
      <c r="C73" s="25" t="s">
        <v>48</v>
      </c>
      <c r="D73" s="27">
        <v>61467</v>
      </c>
    </row>
    <row r="74" spans="1:4" ht="14.25" x14ac:dyDescent="0.2">
      <c r="A74" s="141" t="s">
        <v>133</v>
      </c>
      <c r="B74" s="30">
        <v>148</v>
      </c>
      <c r="C74" s="25" t="s">
        <v>58</v>
      </c>
      <c r="D74" s="27">
        <v>276745646</v>
      </c>
    </row>
    <row r="75" spans="1:4" ht="14.25" x14ac:dyDescent="0.2">
      <c r="A75" s="141" t="s">
        <v>133</v>
      </c>
      <c r="B75" s="30">
        <v>149</v>
      </c>
      <c r="C75" s="25" t="s">
        <v>17</v>
      </c>
      <c r="D75" s="27">
        <v>206405189</v>
      </c>
    </row>
    <row r="76" spans="1:4" ht="14.25" x14ac:dyDescent="0.2">
      <c r="A76" s="141" t="s">
        <v>133</v>
      </c>
      <c r="B76" s="30">
        <v>150</v>
      </c>
      <c r="C76" s="25" t="s">
        <v>59</v>
      </c>
      <c r="D76" s="27">
        <v>1444901620</v>
      </c>
    </row>
    <row r="77" spans="1:4" ht="14.25" x14ac:dyDescent="0.2">
      <c r="A77" s="28"/>
      <c r="B77" s="30"/>
      <c r="C77" s="25"/>
      <c r="D77" s="27"/>
    </row>
    <row r="78" spans="1:4" ht="14.25" x14ac:dyDescent="0.2">
      <c r="A78" s="25" t="s">
        <v>182</v>
      </c>
      <c r="B78" s="30">
        <v>151</v>
      </c>
      <c r="C78" s="25" t="s">
        <v>60</v>
      </c>
      <c r="D78" s="27">
        <v>3254561686</v>
      </c>
    </row>
    <row r="79" spans="1:4" ht="14.25" x14ac:dyDescent="0.2">
      <c r="A79" s="141" t="s">
        <v>133</v>
      </c>
      <c r="B79" s="30">
        <v>331</v>
      </c>
      <c r="C79" s="25" t="s">
        <v>183</v>
      </c>
      <c r="D79" s="27">
        <v>70132031</v>
      </c>
    </row>
    <row r="80" spans="1:4" ht="14.25" x14ac:dyDescent="0.2">
      <c r="A80" s="141" t="s">
        <v>133</v>
      </c>
      <c r="B80" s="30">
        <v>381</v>
      </c>
      <c r="C80" s="25" t="s">
        <v>93</v>
      </c>
      <c r="D80" s="27">
        <v>22022400</v>
      </c>
    </row>
    <row r="81" spans="1:4" ht="14.25" x14ac:dyDescent="0.2">
      <c r="A81" s="141" t="s">
        <v>133</v>
      </c>
      <c r="B81" s="30">
        <v>418</v>
      </c>
      <c r="C81" s="25" t="s">
        <v>98</v>
      </c>
      <c r="D81" s="27">
        <v>40597242</v>
      </c>
    </row>
    <row r="82" spans="1:4" ht="14.25" x14ac:dyDescent="0.2">
      <c r="A82" s="28"/>
      <c r="B82" s="30"/>
      <c r="C82" s="25"/>
      <c r="D82" s="27"/>
    </row>
    <row r="83" spans="1:4" ht="14.25" x14ac:dyDescent="0.2">
      <c r="A83" s="25" t="s">
        <v>184</v>
      </c>
      <c r="B83" s="30">
        <v>161</v>
      </c>
      <c r="C83" s="25" t="s">
        <v>61</v>
      </c>
      <c r="D83" s="27">
        <v>194789476</v>
      </c>
    </row>
    <row r="84" spans="1:4" ht="14.25" x14ac:dyDescent="0.2">
      <c r="A84" s="25"/>
      <c r="B84" s="30"/>
      <c r="C84" s="25"/>
      <c r="D84" s="27"/>
    </row>
    <row r="85" spans="1:4" ht="14.25" x14ac:dyDescent="0.2">
      <c r="A85" s="25" t="s">
        <v>185</v>
      </c>
      <c r="B85" s="30">
        <v>171</v>
      </c>
      <c r="C85" s="25" t="s">
        <v>62</v>
      </c>
      <c r="D85" s="27">
        <v>1034746254</v>
      </c>
    </row>
    <row r="86" spans="1:4" ht="14.25" x14ac:dyDescent="0.2">
      <c r="A86" s="141" t="s">
        <v>133</v>
      </c>
      <c r="B86" s="30">
        <v>283</v>
      </c>
      <c r="C86" s="25" t="s">
        <v>80</v>
      </c>
      <c r="D86" s="27">
        <v>9979028</v>
      </c>
    </row>
    <row r="87" spans="1:4" ht="14.25" x14ac:dyDescent="0.2">
      <c r="A87" s="141" t="s">
        <v>133</v>
      </c>
      <c r="B87" s="30">
        <v>288</v>
      </c>
      <c r="C87" s="25" t="s">
        <v>101</v>
      </c>
      <c r="D87" s="27">
        <v>84258752</v>
      </c>
    </row>
    <row r="88" spans="1:4" ht="14.25" x14ac:dyDescent="0.2">
      <c r="A88" s="141" t="s">
        <v>133</v>
      </c>
      <c r="B88" s="30">
        <v>302</v>
      </c>
      <c r="C88" s="25" t="s">
        <v>82</v>
      </c>
      <c r="D88" s="27">
        <v>12895005</v>
      </c>
    </row>
    <row r="89" spans="1:4" ht="14.25" x14ac:dyDescent="0.2">
      <c r="A89" s="28"/>
      <c r="B89" s="30"/>
      <c r="C89" s="25"/>
      <c r="D89" s="27"/>
    </row>
    <row r="90" spans="1:4" ht="14.25" x14ac:dyDescent="0.2">
      <c r="A90" s="25" t="s">
        <v>186</v>
      </c>
      <c r="B90" s="30">
        <v>111</v>
      </c>
      <c r="C90" s="25" t="s">
        <v>106</v>
      </c>
      <c r="D90" s="27">
        <v>8737482</v>
      </c>
    </row>
    <row r="91" spans="1:4" ht="14.25" x14ac:dyDescent="0.2">
      <c r="A91" s="141" t="s">
        <v>133</v>
      </c>
      <c r="B91" s="30">
        <v>181</v>
      </c>
      <c r="C91" s="25" t="s">
        <v>63</v>
      </c>
      <c r="D91" s="27">
        <v>947161796</v>
      </c>
    </row>
    <row r="92" spans="1:4" ht="14.25" x14ac:dyDescent="0.2">
      <c r="A92" s="141" t="s">
        <v>133</v>
      </c>
      <c r="B92" s="30">
        <v>182</v>
      </c>
      <c r="C92" s="25" t="s">
        <v>64</v>
      </c>
      <c r="D92" s="27">
        <v>299872991</v>
      </c>
    </row>
    <row r="93" spans="1:4" ht="14.25" x14ac:dyDescent="0.2">
      <c r="A93" s="28"/>
      <c r="B93" s="30"/>
      <c r="C93" s="25"/>
      <c r="D93" s="27"/>
    </row>
    <row r="94" spans="1:4" ht="14.25" x14ac:dyDescent="0.2">
      <c r="A94" s="25" t="s">
        <v>187</v>
      </c>
      <c r="B94" s="30">
        <v>191</v>
      </c>
      <c r="C94" s="25" t="s">
        <v>65</v>
      </c>
      <c r="D94" s="27">
        <v>26101859</v>
      </c>
    </row>
    <row r="95" spans="1:4" ht="14.25" x14ac:dyDescent="0.2">
      <c r="A95" s="141" t="s">
        <v>133</v>
      </c>
      <c r="B95" s="30">
        <v>192</v>
      </c>
      <c r="C95" s="25" t="s">
        <v>66</v>
      </c>
      <c r="D95" s="27">
        <v>539871378</v>
      </c>
    </row>
    <row r="96" spans="1:4" ht="14.25" x14ac:dyDescent="0.2">
      <c r="A96" s="141" t="s">
        <v>133</v>
      </c>
      <c r="B96" s="30">
        <v>193</v>
      </c>
      <c r="C96" s="25" t="s">
        <v>18</v>
      </c>
      <c r="D96" s="27">
        <v>2952809818</v>
      </c>
    </row>
    <row r="97" spans="1:4" ht="14.25" x14ac:dyDescent="0.2">
      <c r="A97" s="141" t="s">
        <v>133</v>
      </c>
      <c r="B97" s="30">
        <v>234</v>
      </c>
      <c r="C97" s="25" t="s">
        <v>73</v>
      </c>
      <c r="D97" s="27">
        <v>5202920</v>
      </c>
    </row>
    <row r="98" spans="1:4" ht="14.25" x14ac:dyDescent="0.2">
      <c r="A98" s="141" t="s">
        <v>133</v>
      </c>
      <c r="B98" s="30">
        <v>365</v>
      </c>
      <c r="C98" s="25" t="s">
        <v>188</v>
      </c>
      <c r="D98" s="27">
        <v>44609053</v>
      </c>
    </row>
    <row r="99" spans="1:4" ht="14.25" x14ac:dyDescent="0.2">
      <c r="A99" s="28"/>
      <c r="B99" s="30"/>
      <c r="C99" s="25"/>
      <c r="D99" s="27"/>
    </row>
    <row r="100" spans="1:4" ht="14.25" x14ac:dyDescent="0.2">
      <c r="A100" s="25" t="s">
        <v>189</v>
      </c>
      <c r="B100" s="30">
        <v>148</v>
      </c>
      <c r="C100" s="25" t="s">
        <v>58</v>
      </c>
      <c r="D100" s="27">
        <v>39757977</v>
      </c>
    </row>
    <row r="101" spans="1:4" ht="14.25" x14ac:dyDescent="0.2">
      <c r="A101" s="141" t="s">
        <v>133</v>
      </c>
      <c r="B101" s="30">
        <v>201</v>
      </c>
      <c r="C101" s="25" t="s">
        <v>67</v>
      </c>
      <c r="D101" s="27">
        <v>1262201511</v>
      </c>
    </row>
    <row r="102" spans="1:4" ht="14.25" x14ac:dyDescent="0.2">
      <c r="A102" s="141" t="s">
        <v>133</v>
      </c>
      <c r="B102" s="30">
        <v>202</v>
      </c>
      <c r="C102" s="25" t="s">
        <v>68</v>
      </c>
      <c r="D102" s="27">
        <v>358764601</v>
      </c>
    </row>
    <row r="103" spans="1:4" ht="14.25" x14ac:dyDescent="0.2">
      <c r="A103" s="28"/>
      <c r="B103" s="30"/>
      <c r="C103" s="25"/>
      <c r="D103" s="27"/>
    </row>
    <row r="104" spans="1:4" ht="14.25" x14ac:dyDescent="0.2">
      <c r="A104" s="25" t="s">
        <v>190</v>
      </c>
      <c r="B104" s="30">
        <v>215</v>
      </c>
      <c r="C104" s="25" t="s">
        <v>69</v>
      </c>
      <c r="D104" s="27">
        <v>4141745819</v>
      </c>
    </row>
    <row r="105" spans="1:4" ht="14.25" x14ac:dyDescent="0.2">
      <c r="A105" s="141" t="s">
        <v>133</v>
      </c>
      <c r="B105" s="30">
        <v>322</v>
      </c>
      <c r="C105" s="25" t="s">
        <v>86</v>
      </c>
      <c r="D105" s="27">
        <v>140642234</v>
      </c>
    </row>
    <row r="106" spans="1:4" ht="14.25" x14ac:dyDescent="0.2">
      <c r="A106" s="28"/>
      <c r="B106" s="30"/>
      <c r="C106" s="25"/>
      <c r="D106" s="27"/>
    </row>
    <row r="107" spans="1:4" ht="14.25" x14ac:dyDescent="0.2">
      <c r="A107" s="25" t="s">
        <v>191</v>
      </c>
      <c r="B107" s="30">
        <v>221</v>
      </c>
      <c r="C107" s="25" t="s">
        <v>70</v>
      </c>
      <c r="D107" s="27">
        <v>3067573318</v>
      </c>
    </row>
    <row r="108" spans="1:4" ht="14.25" x14ac:dyDescent="0.2">
      <c r="A108" s="25"/>
      <c r="B108" s="30"/>
      <c r="C108" s="25"/>
      <c r="D108" s="27"/>
    </row>
    <row r="109" spans="1:4" ht="14.25" x14ac:dyDescent="0.2">
      <c r="A109" s="25" t="s">
        <v>192</v>
      </c>
      <c r="B109" s="30">
        <v>231</v>
      </c>
      <c r="C109" s="25" t="s">
        <v>71</v>
      </c>
      <c r="D109" s="27">
        <v>922101668</v>
      </c>
    </row>
    <row r="110" spans="1:4" ht="14.25" x14ac:dyDescent="0.2">
      <c r="A110" s="141" t="s">
        <v>133</v>
      </c>
      <c r="B110" s="30">
        <v>232</v>
      </c>
      <c r="C110" s="25" t="s">
        <v>19</v>
      </c>
      <c r="D110" s="27">
        <v>703094288</v>
      </c>
    </row>
    <row r="111" spans="1:4" ht="14.25" x14ac:dyDescent="0.2">
      <c r="A111" s="141" t="s">
        <v>133</v>
      </c>
      <c r="B111" s="30">
        <v>233</v>
      </c>
      <c r="C111" s="25" t="s">
        <v>72</v>
      </c>
      <c r="D111" s="27">
        <v>383530536</v>
      </c>
    </row>
    <row r="112" spans="1:4" ht="14.25" x14ac:dyDescent="0.2">
      <c r="A112" s="141" t="s">
        <v>133</v>
      </c>
      <c r="B112" s="30">
        <v>234</v>
      </c>
      <c r="C112" s="25" t="s">
        <v>73</v>
      </c>
      <c r="D112" s="27">
        <v>178826053</v>
      </c>
    </row>
    <row r="113" spans="1:4" ht="14.25" x14ac:dyDescent="0.2">
      <c r="A113" s="141" t="s">
        <v>133</v>
      </c>
      <c r="B113" s="30">
        <v>261</v>
      </c>
      <c r="C113" s="25" t="s">
        <v>76</v>
      </c>
      <c r="D113" s="27">
        <v>75459036</v>
      </c>
    </row>
    <row r="114" spans="1:4" ht="14.25" x14ac:dyDescent="0.2">
      <c r="A114" s="141" t="s">
        <v>133</v>
      </c>
      <c r="B114" s="30">
        <v>412</v>
      </c>
      <c r="C114" s="25" t="s">
        <v>96</v>
      </c>
      <c r="D114" s="27">
        <v>56614614</v>
      </c>
    </row>
    <row r="115" spans="1:4" ht="14.25" x14ac:dyDescent="0.2">
      <c r="A115" s="28"/>
      <c r="B115" s="30"/>
      <c r="C115" s="25"/>
      <c r="D115" s="27"/>
    </row>
    <row r="116" spans="1:4" ht="14.25" x14ac:dyDescent="0.2">
      <c r="A116" s="25" t="s">
        <v>193</v>
      </c>
      <c r="B116" s="30">
        <v>242</v>
      </c>
      <c r="C116" s="25" t="s">
        <v>74</v>
      </c>
      <c r="D116" s="27">
        <v>294373774</v>
      </c>
    </row>
    <row r="117" spans="1:4" ht="14.25" x14ac:dyDescent="0.2">
      <c r="A117" s="141" t="s">
        <v>133</v>
      </c>
      <c r="B117" s="30">
        <v>243</v>
      </c>
      <c r="C117" s="25" t="s">
        <v>109</v>
      </c>
      <c r="D117" s="27">
        <v>272549536</v>
      </c>
    </row>
    <row r="118" spans="1:4" ht="14.25" x14ac:dyDescent="0.2">
      <c r="A118" s="141" t="s">
        <v>133</v>
      </c>
      <c r="B118" s="30">
        <v>244</v>
      </c>
      <c r="C118" s="25" t="s">
        <v>110</v>
      </c>
      <c r="D118" s="27">
        <v>1652917515</v>
      </c>
    </row>
    <row r="119" spans="1:4" ht="14.25" x14ac:dyDescent="0.2">
      <c r="A119" s="141" t="s">
        <v>133</v>
      </c>
      <c r="B119" s="30">
        <v>302</v>
      </c>
      <c r="C119" s="25" t="s">
        <v>82</v>
      </c>
      <c r="D119" s="27">
        <v>23681514</v>
      </c>
    </row>
    <row r="120" spans="1:4" ht="14.25" x14ac:dyDescent="0.2">
      <c r="A120" s="141" t="s">
        <v>133</v>
      </c>
      <c r="B120" s="30">
        <v>304</v>
      </c>
      <c r="C120" s="25" t="s">
        <v>83</v>
      </c>
      <c r="D120" s="27">
        <v>299139989</v>
      </c>
    </row>
    <row r="121" spans="1:4" ht="14.25" x14ac:dyDescent="0.2">
      <c r="A121" s="141" t="s">
        <v>133</v>
      </c>
      <c r="B121" s="30">
        <v>305</v>
      </c>
      <c r="C121" s="25" t="s">
        <v>84</v>
      </c>
      <c r="D121" s="27">
        <v>2194158</v>
      </c>
    </row>
    <row r="122" spans="1:4" ht="14.25" x14ac:dyDescent="0.2">
      <c r="A122" s="28"/>
      <c r="B122" s="30"/>
      <c r="C122" s="25"/>
      <c r="D122" s="27"/>
    </row>
    <row r="123" spans="1:4" ht="14.25" x14ac:dyDescent="0.2">
      <c r="A123" s="25" t="s">
        <v>194</v>
      </c>
      <c r="B123" s="30">
        <v>251</v>
      </c>
      <c r="C123" s="25" t="s">
        <v>195</v>
      </c>
      <c r="D123" s="27">
        <v>3183607076</v>
      </c>
    </row>
    <row r="124" spans="1:4" ht="14.25" x14ac:dyDescent="0.2">
      <c r="A124" s="141" t="s">
        <v>133</v>
      </c>
      <c r="B124" s="30">
        <v>252</v>
      </c>
      <c r="C124" s="25" t="s">
        <v>75</v>
      </c>
      <c r="D124" s="27">
        <v>274962410</v>
      </c>
    </row>
    <row r="125" spans="1:4" ht="14.25" x14ac:dyDescent="0.2">
      <c r="A125" s="141" t="s">
        <v>133</v>
      </c>
      <c r="B125" s="30">
        <v>253</v>
      </c>
      <c r="C125" s="25" t="s">
        <v>20</v>
      </c>
      <c r="D125" s="27">
        <v>337094992</v>
      </c>
    </row>
    <row r="126" spans="1:4" ht="14.25" x14ac:dyDescent="0.2">
      <c r="A126" s="28"/>
      <c r="B126" s="30"/>
      <c r="C126" s="25"/>
      <c r="D126" s="27"/>
    </row>
    <row r="127" spans="1:4" ht="14.25" x14ac:dyDescent="0.2">
      <c r="A127" s="25" t="s">
        <v>196</v>
      </c>
      <c r="B127" s="30">
        <v>261</v>
      </c>
      <c r="C127" s="25" t="s">
        <v>76</v>
      </c>
      <c r="D127" s="27">
        <v>2474112672</v>
      </c>
    </row>
    <row r="128" spans="1:4" ht="14.25" x14ac:dyDescent="0.2">
      <c r="A128" s="141" t="s">
        <v>133</v>
      </c>
      <c r="B128" s="30">
        <v>262</v>
      </c>
      <c r="C128" s="25" t="s">
        <v>21</v>
      </c>
      <c r="D128" s="27">
        <v>407061659</v>
      </c>
    </row>
    <row r="129" spans="1:4" ht="14.25" x14ac:dyDescent="0.2">
      <c r="A129" s="141" t="s">
        <v>133</v>
      </c>
      <c r="B129" s="30">
        <v>312</v>
      </c>
      <c r="C129" s="25" t="s">
        <v>85</v>
      </c>
      <c r="D129" s="27">
        <v>7556355</v>
      </c>
    </row>
    <row r="130" spans="1:4" ht="14.25" x14ac:dyDescent="0.2">
      <c r="A130" s="141" t="s">
        <v>133</v>
      </c>
      <c r="B130" s="30">
        <v>331</v>
      </c>
      <c r="C130" s="25" t="s">
        <v>183</v>
      </c>
      <c r="D130" s="27">
        <v>76739642</v>
      </c>
    </row>
    <row r="131" spans="1:4" ht="14.25" x14ac:dyDescent="0.2">
      <c r="A131" s="28"/>
      <c r="B131" s="30"/>
      <c r="C131" s="25"/>
      <c r="D131" s="27"/>
    </row>
    <row r="132" spans="1:4" ht="14.25" x14ac:dyDescent="0.2">
      <c r="A132" s="25" t="s">
        <v>197</v>
      </c>
      <c r="B132" s="29" t="s">
        <v>153</v>
      </c>
      <c r="C132" s="25" t="s">
        <v>154</v>
      </c>
      <c r="D132" s="27">
        <v>916427847</v>
      </c>
    </row>
    <row r="133" spans="1:4" ht="14.25" x14ac:dyDescent="0.2">
      <c r="A133" s="141" t="s">
        <v>133</v>
      </c>
      <c r="B133" s="30">
        <v>271</v>
      </c>
      <c r="C133" s="25" t="s">
        <v>198</v>
      </c>
      <c r="D133" s="27">
        <v>25517496979</v>
      </c>
    </row>
    <row r="134" spans="1:4" ht="14.25" x14ac:dyDescent="0.2">
      <c r="A134" s="141" t="s">
        <v>133</v>
      </c>
      <c r="B134" s="30">
        <v>272</v>
      </c>
      <c r="C134" s="25" t="s">
        <v>171</v>
      </c>
      <c r="D134" s="27">
        <v>8899545062</v>
      </c>
    </row>
    <row r="135" spans="1:4" ht="14.25" x14ac:dyDescent="0.2">
      <c r="A135" s="141" t="s">
        <v>133</v>
      </c>
      <c r="B135" s="30">
        <v>273</v>
      </c>
      <c r="C135" s="25" t="s">
        <v>22</v>
      </c>
      <c r="D135" s="27">
        <v>9334975550</v>
      </c>
    </row>
    <row r="136" spans="1:4" ht="14.25" x14ac:dyDescent="0.2">
      <c r="A136" s="141" t="s">
        <v>133</v>
      </c>
      <c r="B136" s="30">
        <v>274</v>
      </c>
      <c r="C136" s="25" t="s">
        <v>78</v>
      </c>
      <c r="D136" s="27">
        <v>1643823506</v>
      </c>
    </row>
    <row r="137" spans="1:4" ht="14.25" x14ac:dyDescent="0.2">
      <c r="A137" s="141" t="s">
        <v>133</v>
      </c>
      <c r="B137" s="30">
        <v>391</v>
      </c>
      <c r="C137" s="25" t="s">
        <v>102</v>
      </c>
      <c r="D137" s="27">
        <v>222501788</v>
      </c>
    </row>
    <row r="138" spans="1:4" ht="14.25" x14ac:dyDescent="0.2">
      <c r="A138" s="28"/>
      <c r="B138" s="30"/>
      <c r="C138" s="25"/>
      <c r="D138" s="27"/>
    </row>
    <row r="139" spans="1:4" ht="14.25" x14ac:dyDescent="0.2">
      <c r="A139" s="25" t="s">
        <v>199</v>
      </c>
      <c r="B139" s="30">
        <v>281</v>
      </c>
      <c r="C139" s="25" t="s">
        <v>23</v>
      </c>
      <c r="D139" s="27">
        <v>3125823325</v>
      </c>
    </row>
    <row r="140" spans="1:4" ht="14.25" x14ac:dyDescent="0.2">
      <c r="A140" s="141" t="s">
        <v>133</v>
      </c>
      <c r="B140" s="30">
        <v>282</v>
      </c>
      <c r="C140" s="25" t="s">
        <v>79</v>
      </c>
      <c r="D140" s="27">
        <v>254352784</v>
      </c>
    </row>
    <row r="141" spans="1:4" ht="14.25" x14ac:dyDescent="0.2">
      <c r="A141" s="141" t="s">
        <v>133</v>
      </c>
      <c r="B141" s="30">
        <v>283</v>
      </c>
      <c r="C141" s="25" t="s">
        <v>80</v>
      </c>
      <c r="D141" s="27">
        <v>172151824</v>
      </c>
    </row>
    <row r="142" spans="1:4" ht="14.25" x14ac:dyDescent="0.2">
      <c r="A142" s="141" t="s">
        <v>133</v>
      </c>
      <c r="B142" s="30">
        <v>285</v>
      </c>
      <c r="C142" s="25" t="s">
        <v>24</v>
      </c>
      <c r="D142" s="27">
        <v>479185243</v>
      </c>
    </row>
    <row r="143" spans="1:4" ht="14.25" x14ac:dyDescent="0.2">
      <c r="A143" s="141" t="s">
        <v>133</v>
      </c>
      <c r="B143" s="30">
        <v>287</v>
      </c>
      <c r="C143" s="25" t="s">
        <v>81</v>
      </c>
      <c r="D143" s="27">
        <v>302776339</v>
      </c>
    </row>
    <row r="144" spans="1:4" ht="14.25" x14ac:dyDescent="0.2">
      <c r="A144" s="141" t="s">
        <v>133</v>
      </c>
      <c r="B144" s="30">
        <v>288</v>
      </c>
      <c r="C144" s="25" t="s">
        <v>101</v>
      </c>
      <c r="D144" s="27">
        <v>259391858</v>
      </c>
    </row>
    <row r="145" spans="1:4" ht="14.25" x14ac:dyDescent="0.2">
      <c r="A145" s="28"/>
      <c r="B145" s="30"/>
      <c r="C145" s="25"/>
      <c r="D145" s="27"/>
    </row>
    <row r="146" spans="1:4" ht="14.25" x14ac:dyDescent="0.2">
      <c r="A146" s="25" t="s">
        <v>200</v>
      </c>
      <c r="B146" s="30">
        <v>181</v>
      </c>
      <c r="C146" s="25" t="s">
        <v>63</v>
      </c>
      <c r="D146" s="27">
        <v>33101945</v>
      </c>
    </row>
    <row r="147" spans="1:4" ht="14.25" x14ac:dyDescent="0.2">
      <c r="A147" s="141" t="s">
        <v>133</v>
      </c>
      <c r="B147" s="30">
        <v>291</v>
      </c>
      <c r="C147" s="25" t="s">
        <v>25</v>
      </c>
      <c r="D147" s="27">
        <v>1271045770</v>
      </c>
    </row>
    <row r="148" spans="1:4" ht="14.25" x14ac:dyDescent="0.2">
      <c r="A148" s="141" t="s">
        <v>133</v>
      </c>
      <c r="B148" s="30">
        <v>292</v>
      </c>
      <c r="C148" s="25" t="s">
        <v>26</v>
      </c>
      <c r="D148" s="27">
        <v>148869148</v>
      </c>
    </row>
    <row r="149" spans="1:4" ht="14.25" x14ac:dyDescent="0.2">
      <c r="A149" s="28"/>
      <c r="B149" s="30"/>
      <c r="C149" s="25"/>
      <c r="D149" s="27"/>
    </row>
    <row r="150" spans="1:4" ht="14.25" x14ac:dyDescent="0.2">
      <c r="A150" s="25" t="s">
        <v>201</v>
      </c>
      <c r="B150" s="30">
        <v>171</v>
      </c>
      <c r="C150" s="25" t="s">
        <v>62</v>
      </c>
      <c r="D150" s="27">
        <v>1729485</v>
      </c>
    </row>
    <row r="151" spans="1:4" ht="14.25" x14ac:dyDescent="0.2">
      <c r="A151" s="141" t="s">
        <v>133</v>
      </c>
      <c r="B151" s="30">
        <v>242</v>
      </c>
      <c r="C151" s="25" t="s">
        <v>74</v>
      </c>
      <c r="D151" s="27">
        <v>505017</v>
      </c>
    </row>
    <row r="152" spans="1:4" ht="14.25" x14ac:dyDescent="0.2">
      <c r="A152" s="141" t="s">
        <v>133</v>
      </c>
      <c r="B152" s="30">
        <v>302</v>
      </c>
      <c r="C152" s="25" t="s">
        <v>82</v>
      </c>
      <c r="D152" s="27">
        <v>140689356</v>
      </c>
    </row>
    <row r="153" spans="1:4" ht="14.25" x14ac:dyDescent="0.2">
      <c r="A153" s="141" t="s">
        <v>133</v>
      </c>
      <c r="B153" s="30">
        <v>304</v>
      </c>
      <c r="C153" s="25" t="s">
        <v>83</v>
      </c>
      <c r="D153" s="27">
        <v>110495580</v>
      </c>
    </row>
    <row r="154" spans="1:4" ht="14.25" x14ac:dyDescent="0.2">
      <c r="A154" s="141" t="s">
        <v>133</v>
      </c>
      <c r="B154" s="30">
        <v>305</v>
      </c>
      <c r="C154" s="25" t="s">
        <v>84</v>
      </c>
      <c r="D154" s="27">
        <v>187061773</v>
      </c>
    </row>
    <row r="155" spans="1:4" ht="14.25" x14ac:dyDescent="0.2">
      <c r="A155" s="141" t="s">
        <v>133</v>
      </c>
      <c r="B155" s="30">
        <v>342</v>
      </c>
      <c r="C155" s="25" t="s">
        <v>88</v>
      </c>
      <c r="D155" s="27">
        <v>2521368</v>
      </c>
    </row>
    <row r="156" spans="1:4" ht="14.25" x14ac:dyDescent="0.2">
      <c r="A156" s="28"/>
      <c r="B156" s="30"/>
      <c r="C156" s="25"/>
      <c r="D156" s="27"/>
    </row>
    <row r="157" spans="1:4" ht="14.25" x14ac:dyDescent="0.2">
      <c r="A157" s="25" t="s">
        <v>202</v>
      </c>
      <c r="B157" s="30">
        <v>231</v>
      </c>
      <c r="C157" s="25" t="s">
        <v>71</v>
      </c>
      <c r="D157" s="27">
        <v>20906595</v>
      </c>
    </row>
    <row r="158" spans="1:4" ht="14.25" x14ac:dyDescent="0.2">
      <c r="A158" s="141" t="s">
        <v>133</v>
      </c>
      <c r="B158" s="30">
        <v>261</v>
      </c>
      <c r="C158" s="25" t="s">
        <v>76</v>
      </c>
      <c r="D158" s="27">
        <v>840189</v>
      </c>
    </row>
    <row r="159" spans="1:4" ht="14.25" x14ac:dyDescent="0.2">
      <c r="A159" s="141" t="s">
        <v>133</v>
      </c>
      <c r="B159" s="30">
        <v>312</v>
      </c>
      <c r="C159" s="25" t="s">
        <v>85</v>
      </c>
      <c r="D159" s="27">
        <v>397388799</v>
      </c>
    </row>
    <row r="160" spans="1:4" ht="14.25" x14ac:dyDescent="0.2">
      <c r="A160" s="141" t="s">
        <v>133</v>
      </c>
      <c r="B160" s="30">
        <v>314</v>
      </c>
      <c r="C160" s="25" t="s">
        <v>27</v>
      </c>
      <c r="D160" s="27">
        <v>113022565</v>
      </c>
    </row>
    <row r="161" spans="1:4" ht="14.25" x14ac:dyDescent="0.2">
      <c r="A161" s="141" t="s">
        <v>133</v>
      </c>
      <c r="B161" s="30">
        <v>316</v>
      </c>
      <c r="C161" s="25" t="s">
        <v>28</v>
      </c>
      <c r="D161" s="27">
        <v>133689799</v>
      </c>
    </row>
    <row r="162" spans="1:4" ht="14.25" x14ac:dyDescent="0.2">
      <c r="A162" s="141" t="s">
        <v>133</v>
      </c>
      <c r="B162" s="30">
        <v>331</v>
      </c>
      <c r="C162" s="25" t="s">
        <v>183</v>
      </c>
      <c r="D162" s="27">
        <v>51417351</v>
      </c>
    </row>
    <row r="163" spans="1:4" ht="14.25" x14ac:dyDescent="0.2">
      <c r="A163" s="28"/>
      <c r="B163" s="30"/>
      <c r="C163" s="25"/>
      <c r="D163" s="27"/>
    </row>
    <row r="164" spans="1:4" ht="14.25" x14ac:dyDescent="0.2">
      <c r="A164" s="25" t="s">
        <v>203</v>
      </c>
      <c r="B164" s="30">
        <v>215</v>
      </c>
      <c r="C164" s="25" t="s">
        <v>69</v>
      </c>
      <c r="D164" s="27">
        <v>19367195</v>
      </c>
    </row>
    <row r="165" spans="1:4" ht="14.25" x14ac:dyDescent="0.2">
      <c r="A165" s="141" t="s">
        <v>133</v>
      </c>
      <c r="B165" s="30">
        <v>251</v>
      </c>
      <c r="C165" s="25" t="s">
        <v>195</v>
      </c>
      <c r="D165" s="27">
        <v>41381138</v>
      </c>
    </row>
    <row r="166" spans="1:4" ht="14.25" x14ac:dyDescent="0.2">
      <c r="A166" s="141" t="s">
        <v>133</v>
      </c>
      <c r="B166" s="30">
        <v>321</v>
      </c>
      <c r="C166" s="25" t="s">
        <v>29</v>
      </c>
      <c r="D166" s="27">
        <v>3291233402</v>
      </c>
    </row>
    <row r="167" spans="1:4" ht="14.25" x14ac:dyDescent="0.2">
      <c r="A167" s="141" t="s">
        <v>133</v>
      </c>
      <c r="B167" s="30">
        <v>322</v>
      </c>
      <c r="C167" s="25" t="s">
        <v>86</v>
      </c>
      <c r="D167" s="27">
        <v>525085666</v>
      </c>
    </row>
    <row r="168" spans="1:4" ht="14.25" x14ac:dyDescent="0.2">
      <c r="A168" s="28"/>
      <c r="B168" s="30"/>
      <c r="C168" s="25"/>
      <c r="D168" s="27"/>
    </row>
    <row r="169" spans="1:4" ht="14.25" x14ac:dyDescent="0.2">
      <c r="A169" s="25" t="s">
        <v>204</v>
      </c>
      <c r="B169" s="30">
        <v>331</v>
      </c>
      <c r="C169" s="25" t="s">
        <v>183</v>
      </c>
      <c r="D169" s="27">
        <v>2783845603</v>
      </c>
    </row>
    <row r="170" spans="1:4" ht="14.25" x14ac:dyDescent="0.2">
      <c r="A170" s="25"/>
      <c r="B170" s="30"/>
      <c r="C170" s="25"/>
      <c r="D170" s="27"/>
    </row>
    <row r="171" spans="1:4" ht="14.25" x14ac:dyDescent="0.2">
      <c r="A171" s="25" t="s">
        <v>205</v>
      </c>
      <c r="B171" s="30">
        <v>171</v>
      </c>
      <c r="C171" s="25" t="s">
        <v>62</v>
      </c>
      <c r="D171" s="27">
        <v>42478683</v>
      </c>
    </row>
    <row r="172" spans="1:4" ht="14.25" x14ac:dyDescent="0.2">
      <c r="A172" s="141" t="s">
        <v>133</v>
      </c>
      <c r="B172" s="30">
        <v>282</v>
      </c>
      <c r="C172" s="25" t="s">
        <v>79</v>
      </c>
      <c r="D172" s="27">
        <v>50860018</v>
      </c>
    </row>
    <row r="173" spans="1:4" ht="14.25" x14ac:dyDescent="0.2">
      <c r="A173" s="141" t="s">
        <v>133</v>
      </c>
      <c r="B173" s="30">
        <v>283</v>
      </c>
      <c r="C173" s="25" t="s">
        <v>80</v>
      </c>
      <c r="D173" s="27">
        <v>54847188</v>
      </c>
    </row>
    <row r="174" spans="1:4" ht="14.25" x14ac:dyDescent="0.2">
      <c r="A174" s="141" t="s">
        <v>133</v>
      </c>
      <c r="B174" s="30">
        <v>305</v>
      </c>
      <c r="C174" s="25" t="s">
        <v>84</v>
      </c>
      <c r="D174" s="27">
        <v>37712352</v>
      </c>
    </row>
    <row r="175" spans="1:4" ht="14.25" x14ac:dyDescent="0.2">
      <c r="A175" s="141" t="s">
        <v>133</v>
      </c>
      <c r="B175" s="30">
        <v>340</v>
      </c>
      <c r="C175" s="25" t="s">
        <v>87</v>
      </c>
      <c r="D175" s="27">
        <v>5149225003</v>
      </c>
    </row>
    <row r="176" spans="1:4" ht="14.25" x14ac:dyDescent="0.2">
      <c r="A176" s="141" t="s">
        <v>133</v>
      </c>
      <c r="B176" s="30">
        <v>341</v>
      </c>
      <c r="C176" s="25" t="s">
        <v>30</v>
      </c>
      <c r="D176" s="27">
        <v>266268892</v>
      </c>
    </row>
    <row r="177" spans="1:4" ht="14.25" x14ac:dyDescent="0.2">
      <c r="A177" s="141" t="s">
        <v>133</v>
      </c>
      <c r="B177" s="30">
        <v>342</v>
      </c>
      <c r="C177" s="25" t="s">
        <v>88</v>
      </c>
      <c r="D177" s="27">
        <v>90037318</v>
      </c>
    </row>
    <row r="178" spans="1:4" ht="14.25" x14ac:dyDescent="0.2">
      <c r="A178" s="28"/>
      <c r="B178" s="30"/>
      <c r="C178" s="25"/>
      <c r="D178" s="27"/>
    </row>
    <row r="179" spans="1:4" ht="14.25" x14ac:dyDescent="0.2">
      <c r="A179" s="25" t="s">
        <v>206</v>
      </c>
      <c r="B179" s="30">
        <v>151</v>
      </c>
      <c r="C179" s="25" t="s">
        <v>60</v>
      </c>
      <c r="D179" s="27">
        <v>7598389</v>
      </c>
    </row>
    <row r="180" spans="1:4" ht="14.25" x14ac:dyDescent="0.2">
      <c r="A180" s="141" t="s">
        <v>133</v>
      </c>
      <c r="B180" s="30">
        <v>351</v>
      </c>
      <c r="C180" s="25" t="s">
        <v>89</v>
      </c>
      <c r="D180" s="27">
        <v>530153336</v>
      </c>
    </row>
    <row r="181" spans="1:4" ht="14.25" x14ac:dyDescent="0.2">
      <c r="A181" s="28"/>
      <c r="B181" s="30"/>
      <c r="C181" s="25"/>
      <c r="D181" s="27"/>
    </row>
    <row r="182" spans="1:4" ht="14.25" x14ac:dyDescent="0.2">
      <c r="A182" s="25" t="s">
        <v>207</v>
      </c>
      <c r="B182" s="30">
        <v>136</v>
      </c>
      <c r="C182" s="25" t="s">
        <v>57</v>
      </c>
      <c r="D182" s="27">
        <v>116620125</v>
      </c>
    </row>
    <row r="183" spans="1:4" ht="14.25" x14ac:dyDescent="0.2">
      <c r="A183" s="141" t="s">
        <v>133</v>
      </c>
      <c r="B183" s="30">
        <v>192</v>
      </c>
      <c r="C183" s="25" t="s">
        <v>66</v>
      </c>
      <c r="D183" s="27">
        <v>14851580</v>
      </c>
    </row>
    <row r="184" spans="1:4" ht="14.25" x14ac:dyDescent="0.2">
      <c r="A184" s="141" t="s">
        <v>133</v>
      </c>
      <c r="B184" s="30">
        <v>363</v>
      </c>
      <c r="C184" s="25" t="s">
        <v>90</v>
      </c>
      <c r="D184" s="27">
        <v>558502118</v>
      </c>
    </row>
    <row r="185" spans="1:4" ht="14.25" x14ac:dyDescent="0.2">
      <c r="A185" s="141" t="s">
        <v>133</v>
      </c>
      <c r="B185" s="30">
        <v>364</v>
      </c>
      <c r="C185" s="25" t="s">
        <v>208</v>
      </c>
      <c r="D185" s="27">
        <v>35962891</v>
      </c>
    </row>
    <row r="186" spans="1:4" ht="14.25" x14ac:dyDescent="0.2">
      <c r="A186" s="141" t="s">
        <v>133</v>
      </c>
      <c r="B186" s="30">
        <v>365</v>
      </c>
      <c r="C186" s="25" t="s">
        <v>188</v>
      </c>
      <c r="D186" s="27">
        <v>307421245</v>
      </c>
    </row>
    <row r="187" spans="1:4" ht="14.25" x14ac:dyDescent="0.2">
      <c r="A187" s="141" t="s">
        <v>133</v>
      </c>
      <c r="B187" s="30">
        <v>370</v>
      </c>
      <c r="C187" s="25" t="s">
        <v>91</v>
      </c>
      <c r="D187" s="27">
        <v>485466552</v>
      </c>
    </row>
    <row r="188" spans="1:4" ht="14.25" x14ac:dyDescent="0.2">
      <c r="A188" s="141" t="s">
        <v>133</v>
      </c>
      <c r="B188" s="30">
        <v>416</v>
      </c>
      <c r="C188" s="25" t="s">
        <v>209</v>
      </c>
      <c r="D188" s="27">
        <v>28081197</v>
      </c>
    </row>
    <row r="189" spans="1:4" ht="14.25" x14ac:dyDescent="0.2">
      <c r="A189" s="141" t="s">
        <v>133</v>
      </c>
      <c r="B189" s="30">
        <v>417</v>
      </c>
      <c r="C189" s="25" t="s">
        <v>97</v>
      </c>
      <c r="D189" s="27">
        <v>2477730</v>
      </c>
    </row>
    <row r="190" spans="1:4" ht="14.25" x14ac:dyDescent="0.2">
      <c r="A190" s="28"/>
      <c r="B190" s="30"/>
      <c r="C190" s="25"/>
      <c r="D190" s="27"/>
    </row>
    <row r="191" spans="1:4" ht="14.25" x14ac:dyDescent="0.2">
      <c r="A191" s="25" t="s">
        <v>210</v>
      </c>
      <c r="B191" s="30">
        <v>371</v>
      </c>
      <c r="C191" s="25" t="s">
        <v>92</v>
      </c>
      <c r="D191" s="27">
        <v>1165880261</v>
      </c>
    </row>
    <row r="192" spans="1:4" ht="14.25" x14ac:dyDescent="0.2">
      <c r="A192" s="141" t="s">
        <v>133</v>
      </c>
      <c r="B192" s="30">
        <v>372</v>
      </c>
      <c r="C192" s="25" t="s">
        <v>31</v>
      </c>
      <c r="D192" s="27">
        <v>905414775</v>
      </c>
    </row>
    <row r="193" spans="1:4" ht="14.25" x14ac:dyDescent="0.2">
      <c r="A193" s="141" t="s">
        <v>133</v>
      </c>
      <c r="B193" s="30">
        <v>373</v>
      </c>
      <c r="C193" s="25" t="s">
        <v>44</v>
      </c>
      <c r="D193" s="27">
        <v>1647828945</v>
      </c>
    </row>
    <row r="194" spans="1:4" ht="14.25" x14ac:dyDescent="0.2">
      <c r="A194" s="28"/>
      <c r="B194" s="30"/>
      <c r="C194" s="25"/>
      <c r="D194" s="27"/>
    </row>
    <row r="195" spans="1:4" ht="14.25" x14ac:dyDescent="0.2">
      <c r="A195" s="25" t="s">
        <v>211</v>
      </c>
      <c r="B195" s="30">
        <v>381</v>
      </c>
      <c r="C195" s="25" t="s">
        <v>93</v>
      </c>
      <c r="D195" s="27">
        <v>1377255415</v>
      </c>
    </row>
    <row r="196" spans="1:4" ht="14.25" x14ac:dyDescent="0.2">
      <c r="A196" s="141" t="s">
        <v>133</v>
      </c>
      <c r="B196" s="30">
        <v>382</v>
      </c>
      <c r="C196" s="25" t="s">
        <v>32</v>
      </c>
      <c r="D196" s="27">
        <v>76937700</v>
      </c>
    </row>
    <row r="197" spans="1:4" ht="14.25" x14ac:dyDescent="0.2">
      <c r="A197" s="141" t="s">
        <v>133</v>
      </c>
      <c r="B197" s="30">
        <v>383</v>
      </c>
      <c r="C197" s="25" t="s">
        <v>94</v>
      </c>
      <c r="D197" s="27">
        <v>44931535</v>
      </c>
    </row>
    <row r="198" spans="1:4" ht="14.25" x14ac:dyDescent="0.2">
      <c r="A198" s="28"/>
      <c r="B198" s="30"/>
      <c r="C198" s="25"/>
      <c r="D198" s="27"/>
    </row>
    <row r="199" spans="1:4" ht="14.25" x14ac:dyDescent="0.2">
      <c r="A199" s="25" t="s">
        <v>212</v>
      </c>
      <c r="B199" s="41">
        <v>41</v>
      </c>
      <c r="C199" s="25" t="s">
        <v>50</v>
      </c>
      <c r="D199" s="27">
        <v>1784328</v>
      </c>
    </row>
    <row r="200" spans="1:4" ht="14.25" x14ac:dyDescent="0.2">
      <c r="A200" s="141" t="s">
        <v>133</v>
      </c>
      <c r="B200" s="30">
        <v>391</v>
      </c>
      <c r="C200" s="25" t="s">
        <v>102</v>
      </c>
      <c r="D200" s="27">
        <v>1263486513</v>
      </c>
    </row>
    <row r="201" spans="1:4" ht="14.25" x14ac:dyDescent="0.2">
      <c r="A201" s="141" t="s">
        <v>133</v>
      </c>
      <c r="B201" s="30">
        <v>392</v>
      </c>
      <c r="C201" s="25" t="s">
        <v>33</v>
      </c>
      <c r="D201" s="27">
        <v>159287847</v>
      </c>
    </row>
    <row r="202" spans="1:4" ht="14.25" x14ac:dyDescent="0.2">
      <c r="A202" s="141" t="s">
        <v>133</v>
      </c>
      <c r="B202" s="30">
        <v>393</v>
      </c>
      <c r="C202" s="25" t="s">
        <v>34</v>
      </c>
      <c r="D202" s="27">
        <v>681867335</v>
      </c>
    </row>
    <row r="203" spans="1:4" ht="14.25" x14ac:dyDescent="0.2">
      <c r="A203" s="141" t="s">
        <v>133</v>
      </c>
      <c r="B203" s="30">
        <v>394</v>
      </c>
      <c r="C203" s="25" t="s">
        <v>35</v>
      </c>
      <c r="D203" s="27">
        <v>215790107</v>
      </c>
    </row>
    <row r="204" spans="1:4" ht="14.25" x14ac:dyDescent="0.2">
      <c r="A204" s="28"/>
      <c r="B204" s="30"/>
      <c r="C204" s="25"/>
      <c r="D204" s="27"/>
    </row>
    <row r="205" spans="1:4" ht="14.25" x14ac:dyDescent="0.2">
      <c r="A205" s="25" t="s">
        <v>213</v>
      </c>
      <c r="B205" s="30">
        <v>401</v>
      </c>
      <c r="C205" s="25" t="s">
        <v>95</v>
      </c>
      <c r="D205" s="27">
        <v>6239826697</v>
      </c>
    </row>
    <row r="206" spans="1:4" ht="14.25" x14ac:dyDescent="0.2">
      <c r="A206" s="25"/>
      <c r="B206" s="30"/>
      <c r="C206" s="25"/>
      <c r="D206" s="27"/>
    </row>
    <row r="207" spans="1:4" ht="14.25" x14ac:dyDescent="0.2">
      <c r="A207" s="25" t="s">
        <v>214</v>
      </c>
      <c r="B207" s="30">
        <v>151</v>
      </c>
      <c r="C207" s="25" t="s">
        <v>60</v>
      </c>
      <c r="D207" s="27">
        <v>4487436</v>
      </c>
    </row>
    <row r="208" spans="1:4" ht="14.25" x14ac:dyDescent="0.2">
      <c r="A208" s="141" t="s">
        <v>133</v>
      </c>
      <c r="B208" s="30">
        <v>233</v>
      </c>
      <c r="C208" s="25" t="s">
        <v>72</v>
      </c>
      <c r="D208" s="27">
        <v>40345648</v>
      </c>
    </row>
    <row r="209" spans="1:4" ht="14.25" x14ac:dyDescent="0.2">
      <c r="A209" s="141" t="s">
        <v>133</v>
      </c>
      <c r="B209" s="30">
        <v>234</v>
      </c>
      <c r="C209" s="25" t="s">
        <v>73</v>
      </c>
      <c r="D209" s="27">
        <v>3686348</v>
      </c>
    </row>
    <row r="210" spans="1:4" ht="14.25" x14ac:dyDescent="0.2">
      <c r="A210" s="141" t="s">
        <v>133</v>
      </c>
      <c r="B210" s="30">
        <v>411</v>
      </c>
      <c r="C210" s="25" t="s">
        <v>36</v>
      </c>
      <c r="D210" s="27">
        <v>7519628271</v>
      </c>
    </row>
    <row r="211" spans="1:4" ht="14.25" x14ac:dyDescent="0.2">
      <c r="A211" s="141" t="s">
        <v>133</v>
      </c>
      <c r="B211" s="30">
        <v>412</v>
      </c>
      <c r="C211" s="25" t="s">
        <v>96</v>
      </c>
      <c r="D211" s="27">
        <v>1029532370</v>
      </c>
    </row>
    <row r="212" spans="1:4" ht="14.25" x14ac:dyDescent="0.2">
      <c r="A212" s="141" t="s">
        <v>133</v>
      </c>
      <c r="B212" s="30">
        <v>413</v>
      </c>
      <c r="C212" s="25" t="s">
        <v>37</v>
      </c>
      <c r="D212" s="27">
        <v>1000324460</v>
      </c>
    </row>
    <row r="213" spans="1:4" ht="14.25" x14ac:dyDescent="0.2">
      <c r="A213" s="141" t="s">
        <v>133</v>
      </c>
      <c r="B213" s="30">
        <v>414</v>
      </c>
      <c r="C213" s="25" t="s">
        <v>38</v>
      </c>
      <c r="D213" s="27">
        <v>1197665752</v>
      </c>
    </row>
    <row r="214" spans="1:4" ht="14.25" x14ac:dyDescent="0.2">
      <c r="A214" s="141" t="s">
        <v>133</v>
      </c>
      <c r="B214" s="30">
        <v>415</v>
      </c>
      <c r="C214" s="25" t="s">
        <v>39</v>
      </c>
      <c r="D214" s="27">
        <v>232395474</v>
      </c>
    </row>
    <row r="215" spans="1:4" ht="14.25" x14ac:dyDescent="0.2">
      <c r="A215" s="141" t="s">
        <v>133</v>
      </c>
      <c r="B215" s="30">
        <v>416</v>
      </c>
      <c r="C215" s="25" t="s">
        <v>209</v>
      </c>
      <c r="D215" s="27">
        <v>5128234</v>
      </c>
    </row>
    <row r="216" spans="1:4" ht="14.25" x14ac:dyDescent="0.2">
      <c r="A216" s="141" t="s">
        <v>133</v>
      </c>
      <c r="B216" s="30">
        <v>417</v>
      </c>
      <c r="C216" s="25" t="s">
        <v>97</v>
      </c>
      <c r="D216" s="27">
        <v>228818987</v>
      </c>
    </row>
    <row r="217" spans="1:4" ht="14.25" x14ac:dyDescent="0.2">
      <c r="A217" s="141" t="s">
        <v>133</v>
      </c>
      <c r="B217" s="30">
        <v>418</v>
      </c>
      <c r="C217" s="25" t="s">
        <v>98</v>
      </c>
      <c r="D217" s="27">
        <v>204767853</v>
      </c>
    </row>
    <row r="218" spans="1:4" ht="14.25" x14ac:dyDescent="0.2">
      <c r="A218" s="28"/>
      <c r="B218" s="30"/>
      <c r="C218" s="25"/>
      <c r="D218" s="27"/>
    </row>
    <row r="219" spans="1:4" ht="14.25" x14ac:dyDescent="0.2">
      <c r="A219" s="25" t="s">
        <v>215</v>
      </c>
      <c r="B219" s="30">
        <v>421</v>
      </c>
      <c r="C219" s="25" t="s">
        <v>99</v>
      </c>
      <c r="D219" s="27">
        <v>10283398322</v>
      </c>
    </row>
    <row r="220" spans="1:4" ht="14.25" x14ac:dyDescent="0.2">
      <c r="A220" s="141" t="s">
        <v>133</v>
      </c>
      <c r="B220" s="30">
        <v>422</v>
      </c>
      <c r="C220" s="25" t="s">
        <v>40</v>
      </c>
      <c r="D220" s="27">
        <v>1588624876</v>
      </c>
    </row>
    <row r="221" spans="1:4" ht="14.25" x14ac:dyDescent="0.2">
      <c r="A221" s="28"/>
      <c r="B221" s="30"/>
      <c r="C221" s="25"/>
      <c r="D221" s="27"/>
    </row>
    <row r="222" spans="1:4" ht="14.25" x14ac:dyDescent="0.2">
      <c r="A222" s="25" t="s">
        <v>216</v>
      </c>
      <c r="B222" s="30">
        <v>371</v>
      </c>
      <c r="C222" s="25" t="s">
        <v>92</v>
      </c>
      <c r="D222" s="27">
        <v>22506503</v>
      </c>
    </row>
    <row r="223" spans="1:4" ht="14.25" x14ac:dyDescent="0.2">
      <c r="A223" s="141" t="s">
        <v>133</v>
      </c>
      <c r="B223" s="30">
        <v>431</v>
      </c>
      <c r="C223" s="25" t="s">
        <v>41</v>
      </c>
      <c r="D223" s="27">
        <v>928056020</v>
      </c>
    </row>
    <row r="224" spans="1:4" ht="14.25" x14ac:dyDescent="0.2">
      <c r="A224" s="141" t="s">
        <v>133</v>
      </c>
      <c r="B224" s="30">
        <v>432</v>
      </c>
      <c r="C224" s="25" t="s">
        <v>100</v>
      </c>
      <c r="D224" s="27">
        <v>236605821</v>
      </c>
    </row>
    <row r="225" spans="1:4" ht="14.25" x14ac:dyDescent="0.2">
      <c r="A225" s="141" t="s">
        <v>133</v>
      </c>
      <c r="B225" s="30">
        <v>433</v>
      </c>
      <c r="C225" s="25" t="s">
        <v>42</v>
      </c>
      <c r="D225" s="27">
        <v>206350123</v>
      </c>
    </row>
    <row r="226" spans="1:4" ht="14.25" x14ac:dyDescent="0.2">
      <c r="A226" s="141" t="s">
        <v>133</v>
      </c>
    </row>
    <row r="227" spans="1:4" ht="15" thickBot="1" x14ac:dyDescent="0.25">
      <c r="C227" s="32" t="s">
        <v>217</v>
      </c>
      <c r="D227" s="33">
        <f>SUM(D3:D226)</f>
        <v>362554177110</v>
      </c>
    </row>
    <row r="228" spans="1:4" ht="15" thickTop="1" x14ac:dyDescent="0.2">
      <c r="A228" s="2"/>
      <c r="C228" s="32"/>
      <c r="D228" s="34"/>
    </row>
    <row r="229" spans="1:4" x14ac:dyDescent="0.2">
      <c r="A229" s="35"/>
      <c r="B229" s="2"/>
      <c r="C229" s="36"/>
      <c r="D229" s="34"/>
    </row>
    <row r="230" spans="1:4" ht="15" x14ac:dyDescent="0.25">
      <c r="A230" s="139" t="s">
        <v>218</v>
      </c>
    </row>
  </sheetData>
  <pageMargins left="0.7" right="0.7" top="0.75" bottom="0.75" header="0.3" footer="0.3"/>
  <pageSetup paperSize="5" scale="71" orientation="portrait" verticalDpi="0" r:id="rId1"/>
  <rowBreaks count="2" manualBreakCount="2">
    <brk id="88" max="16383" man="1"/>
    <brk id="177"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Levy Rate</vt:lpstr>
      <vt:lpstr>Amount</vt:lpstr>
      <vt:lpstr>Market Values</vt:lpstr>
      <vt:lpstr>Amount!Print_Titles</vt:lpstr>
      <vt:lpstr>'Levy Rate'!Print_Titles</vt:lpstr>
      <vt:lpstr>'Market Values'!Print_Titles</vt:lpstr>
    </vt:vector>
  </TitlesOfParts>
  <Company>Idaho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Tax Levis for School Purposes</dc:title>
  <dc:creator>LaRae Ashby</dc:creator>
  <cp:lastModifiedBy>Brad Starks</cp:lastModifiedBy>
  <cp:lastPrinted>2024-12-20T23:45:17Z</cp:lastPrinted>
  <dcterms:created xsi:type="dcterms:W3CDTF">1998-11-05T23:09:22Z</dcterms:created>
  <dcterms:modified xsi:type="dcterms:W3CDTF">2025-01-02T18:32:50Z</dcterms:modified>
</cp:coreProperties>
</file>